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istracao\Secretaria Municipal da Administração\LICITAÇÕES\2018\licitacao CASA\"/>
    </mc:Choice>
  </mc:AlternateContent>
  <bookViews>
    <workbookView xWindow="0" yWindow="0" windowWidth="19440" windowHeight="8745"/>
  </bookViews>
  <sheets>
    <sheet name="Orçamento 15x20" sheetId="3" r:id="rId1"/>
    <sheet name="Orçamento 20x20" sheetId="9" r:id="rId2"/>
    <sheet name="Memória de Cálculo" sheetId="6" r:id="rId3"/>
    <sheet name="Comp." sheetId="4" r:id="rId4"/>
    <sheet name="Cronograma" sheetId="7" r:id="rId5"/>
    <sheet name="Plan1" sheetId="8" r:id="rId6"/>
  </sheets>
  <definedNames>
    <definedName name="_xlnm.Print_Titles" localSheetId="0">'Orçamento 15x20'!$1:$13</definedName>
  </definedNames>
  <calcPr calcId="152511"/>
</workbook>
</file>

<file path=xl/calcChain.xml><?xml version="1.0" encoding="utf-8"?>
<calcChain xmlns="http://schemas.openxmlformats.org/spreadsheetml/2006/main">
  <c r="G94" i="3" l="1"/>
  <c r="H94" i="3" s="1"/>
  <c r="G61" i="3"/>
  <c r="H61" i="3" s="1"/>
  <c r="G30" i="3" l="1"/>
  <c r="H30" i="3" s="1"/>
  <c r="G107" i="3"/>
  <c r="H107" i="3" s="1"/>
  <c r="G106" i="3"/>
  <c r="H106" i="3" s="1"/>
  <c r="G93" i="3"/>
  <c r="H93" i="3" s="1"/>
  <c r="G87" i="3"/>
  <c r="H87" i="3" s="1"/>
  <c r="G70" i="3"/>
  <c r="H70" i="3" s="1"/>
  <c r="G69" i="3"/>
  <c r="H69" i="3" s="1"/>
  <c r="G56" i="3"/>
  <c r="H56" i="3" s="1"/>
  <c r="G55" i="3"/>
  <c r="H55" i="3" s="1"/>
  <c r="G27" i="3"/>
  <c r="H27" i="3" s="1"/>
  <c r="G29" i="3"/>
  <c r="H29" i="3" s="1"/>
  <c r="G26" i="3"/>
  <c r="H26" i="3" s="1"/>
  <c r="G25" i="3"/>
  <c r="H25" i="3" s="1"/>
  <c r="G28" i="3"/>
  <c r="H28" i="3" s="1"/>
  <c r="G24" i="3"/>
  <c r="H24" i="3" s="1"/>
  <c r="G32" i="9" l="1"/>
  <c r="H32" i="9" s="1"/>
  <c r="J26" i="9"/>
  <c r="J135" i="9" l="1"/>
  <c r="J92" i="9"/>
  <c r="J76" i="9"/>
  <c r="G76" i="9"/>
  <c r="H76" i="9" s="1"/>
  <c r="J74" i="9"/>
  <c r="J59" i="9"/>
  <c r="J58" i="9"/>
  <c r="J52" i="9"/>
  <c r="J47" i="9"/>
  <c r="J46" i="9"/>
  <c r="J40" i="9"/>
  <c r="J34" i="9"/>
  <c r="J33" i="9"/>
  <c r="L25" i="9"/>
  <c r="G135" i="9"/>
  <c r="H135" i="9" s="1"/>
  <c r="H136" i="9" s="1"/>
  <c r="G131" i="9"/>
  <c r="H131" i="9" s="1"/>
  <c r="G130" i="9"/>
  <c r="H130" i="9" s="1"/>
  <c r="G126" i="9"/>
  <c r="H126" i="9" s="1"/>
  <c r="G125" i="9"/>
  <c r="H125" i="9" s="1"/>
  <c r="G124" i="9"/>
  <c r="H124" i="9" s="1"/>
  <c r="G123" i="9"/>
  <c r="H123" i="9" s="1"/>
  <c r="G119" i="9"/>
  <c r="H119" i="9" s="1"/>
  <c r="G118" i="9"/>
  <c r="H118" i="9" s="1"/>
  <c r="G117" i="9"/>
  <c r="H117" i="9" s="1"/>
  <c r="G116" i="9"/>
  <c r="H116" i="9" s="1"/>
  <c r="G115" i="9"/>
  <c r="H115" i="9" s="1"/>
  <c r="G114" i="9"/>
  <c r="H114" i="9" s="1"/>
  <c r="G113" i="9"/>
  <c r="H113" i="9" s="1"/>
  <c r="G112" i="9"/>
  <c r="H112" i="9" s="1"/>
  <c r="G111" i="9"/>
  <c r="H111" i="9" s="1"/>
  <c r="G110" i="9"/>
  <c r="H110" i="9" s="1"/>
  <c r="G109" i="9"/>
  <c r="H109" i="9" s="1"/>
  <c r="G105" i="9"/>
  <c r="H105" i="9" s="1"/>
  <c r="G104" i="9"/>
  <c r="H104" i="9" s="1"/>
  <c r="G103" i="9"/>
  <c r="H103" i="9" s="1"/>
  <c r="G102" i="9"/>
  <c r="H102" i="9" s="1"/>
  <c r="G101" i="9"/>
  <c r="H101" i="9" s="1"/>
  <c r="G100" i="9"/>
  <c r="H100" i="9" s="1"/>
  <c r="G96" i="9"/>
  <c r="H96" i="9" s="1"/>
  <c r="G95" i="9"/>
  <c r="H95" i="9" s="1"/>
  <c r="G94" i="9"/>
  <c r="H94" i="9" s="1"/>
  <c r="G93" i="9"/>
  <c r="H93" i="9" s="1"/>
  <c r="G92" i="9"/>
  <c r="H92" i="9" s="1"/>
  <c r="G90" i="9"/>
  <c r="H90" i="9" s="1"/>
  <c r="N89" i="9"/>
  <c r="G89" i="9"/>
  <c r="H89" i="9" s="1"/>
  <c r="G87" i="9"/>
  <c r="H87" i="9" s="1"/>
  <c r="G86" i="9"/>
  <c r="H86" i="9" s="1"/>
  <c r="G85" i="9"/>
  <c r="H85" i="9" s="1"/>
  <c r="G83" i="9"/>
  <c r="H83" i="9" s="1"/>
  <c r="K82" i="9"/>
  <c r="G82" i="9"/>
  <c r="H82" i="9" s="1"/>
  <c r="G81" i="9"/>
  <c r="H81" i="9" s="1"/>
  <c r="G75" i="9"/>
  <c r="H75" i="9" s="1"/>
  <c r="G74" i="9"/>
  <c r="H74" i="9" s="1"/>
  <c r="G73" i="9"/>
  <c r="H73" i="9" s="1"/>
  <c r="J72" i="9"/>
  <c r="G72" i="9"/>
  <c r="H72" i="9" s="1"/>
  <c r="G71" i="9"/>
  <c r="H71" i="9" s="1"/>
  <c r="G70" i="9"/>
  <c r="H70" i="9" s="1"/>
  <c r="G66" i="9"/>
  <c r="H66" i="9" s="1"/>
  <c r="J65" i="9"/>
  <c r="G65" i="9"/>
  <c r="H65" i="9" s="1"/>
  <c r="G60" i="9"/>
  <c r="H60" i="9" s="1"/>
  <c r="G59" i="9"/>
  <c r="H59" i="9" s="1"/>
  <c r="G58" i="9"/>
  <c r="H58" i="9" s="1"/>
  <c r="G54" i="9"/>
  <c r="H54" i="9" s="1"/>
  <c r="G53" i="9"/>
  <c r="H53" i="9" s="1"/>
  <c r="G52" i="9"/>
  <c r="H52" i="9" s="1"/>
  <c r="J51" i="9"/>
  <c r="G51" i="9"/>
  <c r="H51" i="9" s="1"/>
  <c r="G47" i="9"/>
  <c r="H47" i="9" s="1"/>
  <c r="G46" i="9"/>
  <c r="H46" i="9" s="1"/>
  <c r="G42" i="9"/>
  <c r="H42" i="9" s="1"/>
  <c r="G41" i="9"/>
  <c r="H41" i="9" s="1"/>
  <c r="G40" i="9"/>
  <c r="H40" i="9" s="1"/>
  <c r="G39" i="9"/>
  <c r="H39" i="9" s="1"/>
  <c r="G35" i="9"/>
  <c r="H35" i="9" s="1"/>
  <c r="G34" i="9"/>
  <c r="H34" i="9" s="1"/>
  <c r="G33" i="9"/>
  <c r="H33" i="9" s="1"/>
  <c r="G31" i="9"/>
  <c r="H31" i="9" s="1"/>
  <c r="G30" i="9"/>
  <c r="H30" i="9" s="1"/>
  <c r="G26" i="9"/>
  <c r="H26" i="9" s="1"/>
  <c r="G25" i="9"/>
  <c r="H25" i="9" s="1"/>
  <c r="L21" i="9"/>
  <c r="G21" i="9"/>
  <c r="H21" i="9" s="1"/>
  <c r="H22" i="9" s="1"/>
  <c r="G17" i="9"/>
  <c r="H17" i="9" s="1"/>
  <c r="G16" i="9"/>
  <c r="H16" i="9" s="1"/>
  <c r="G15" i="9"/>
  <c r="H15" i="9" s="1"/>
  <c r="G57" i="3"/>
  <c r="H57" i="3" s="1"/>
  <c r="H55" i="9" l="1"/>
  <c r="H97" i="9"/>
  <c r="H106" i="9"/>
  <c r="H48" i="9"/>
  <c r="H132" i="9"/>
  <c r="H36" i="9"/>
  <c r="H43" i="9"/>
  <c r="H77" i="9"/>
  <c r="H120" i="9"/>
  <c r="H18" i="9"/>
  <c r="H27" i="9"/>
  <c r="H67" i="9"/>
  <c r="H127" i="9"/>
  <c r="H61" i="9"/>
  <c r="G97" i="3"/>
  <c r="H97" i="3" s="1"/>
  <c r="G96" i="3"/>
  <c r="H96" i="3" s="1"/>
  <c r="G95" i="3"/>
  <c r="H95" i="3" s="1"/>
  <c r="G84" i="3"/>
  <c r="H84" i="3" s="1"/>
  <c r="G85" i="3"/>
  <c r="H85" i="3" s="1"/>
  <c r="G102" i="3"/>
  <c r="H102" i="3" s="1"/>
  <c r="G119" i="3"/>
  <c r="H119" i="3" s="1"/>
  <c r="G133" i="3"/>
  <c r="H133" i="3" s="1"/>
  <c r="G64" i="3"/>
  <c r="H64" i="3" s="1"/>
  <c r="H138" i="9" l="1"/>
  <c r="G49" i="3"/>
  <c r="H49" i="3" s="1"/>
  <c r="G48" i="3"/>
  <c r="H48" i="3" s="1"/>
  <c r="G54" i="3"/>
  <c r="H54" i="3" s="1"/>
  <c r="G53" i="3"/>
  <c r="H53" i="3" s="1"/>
  <c r="H58" i="3" l="1"/>
  <c r="E43" i="4"/>
  <c r="O310" i="6"/>
  <c r="O220" i="6"/>
  <c r="D15" i="4"/>
  <c r="O309" i="6" l="1"/>
  <c r="O299" i="6"/>
  <c r="L10" i="6" l="1"/>
  <c r="O185" i="6"/>
  <c r="O95" i="6" l="1"/>
  <c r="J101" i="6"/>
  <c r="J99" i="6"/>
  <c r="O89" i="6"/>
  <c r="O90" i="6"/>
  <c r="O92" i="6"/>
  <c r="O91" i="6"/>
  <c r="O88" i="6" l="1"/>
  <c r="L79" i="6"/>
  <c r="L80" i="6"/>
  <c r="L81" i="6"/>
  <c r="H75" i="6"/>
  <c r="H74" i="6"/>
  <c r="K52" i="6"/>
  <c r="H45" i="6"/>
  <c r="O168" i="6" l="1"/>
  <c r="G134" i="3"/>
  <c r="H134" i="3" s="1"/>
  <c r="H135" i="3" s="1"/>
  <c r="G127" i="3"/>
  <c r="H127" i="3" s="1"/>
  <c r="G128" i="3"/>
  <c r="H128" i="3" s="1"/>
  <c r="G129" i="3"/>
  <c r="H129" i="3" s="1"/>
  <c r="G126" i="3"/>
  <c r="H126" i="3" s="1"/>
  <c r="G113" i="3"/>
  <c r="H113" i="3" s="1"/>
  <c r="G114" i="3"/>
  <c r="H114" i="3" s="1"/>
  <c r="G115" i="3"/>
  <c r="H115" i="3" s="1"/>
  <c r="G116" i="3"/>
  <c r="H116" i="3" s="1"/>
  <c r="G117" i="3"/>
  <c r="H117" i="3" s="1"/>
  <c r="G118" i="3"/>
  <c r="H118" i="3" s="1"/>
  <c r="G120" i="3"/>
  <c r="H120" i="3" s="1"/>
  <c r="G121" i="3"/>
  <c r="H121" i="3" s="1"/>
  <c r="G122" i="3"/>
  <c r="H122" i="3" s="1"/>
  <c r="G112" i="3"/>
  <c r="H112" i="3" s="1"/>
  <c r="G105" i="3"/>
  <c r="H105" i="3" s="1"/>
  <c r="G103" i="3"/>
  <c r="H103" i="3" s="1"/>
  <c r="G104" i="3"/>
  <c r="H104" i="3" s="1"/>
  <c r="G108" i="3"/>
  <c r="H108" i="3" s="1"/>
  <c r="G101" i="3"/>
  <c r="H101" i="3" s="1"/>
  <c r="G88" i="3"/>
  <c r="H88" i="3" s="1"/>
  <c r="G92" i="3"/>
  <c r="H92" i="3" s="1"/>
  <c r="G90" i="3"/>
  <c r="H90" i="3" s="1"/>
  <c r="G76" i="3"/>
  <c r="H76" i="3" s="1"/>
  <c r="G77" i="3"/>
  <c r="H77" i="3" s="1"/>
  <c r="G79" i="3"/>
  <c r="H79" i="3" s="1"/>
  <c r="G78" i="3"/>
  <c r="H78" i="3" s="1"/>
  <c r="G75" i="3"/>
  <c r="H75" i="3" s="1"/>
  <c r="G63" i="3"/>
  <c r="H63" i="3" s="1"/>
  <c r="G62" i="3"/>
  <c r="H62" i="3" s="1"/>
  <c r="H65" i="3" s="1"/>
  <c r="G71" i="3"/>
  <c r="H71" i="3" s="1"/>
  <c r="G68" i="3"/>
  <c r="H68" i="3" s="1"/>
  <c r="H44" i="3"/>
  <c r="G43" i="3"/>
  <c r="H43" i="3" s="1"/>
  <c r="G36" i="3"/>
  <c r="H36" i="3" s="1"/>
  <c r="G37" i="3"/>
  <c r="H37" i="3" s="1"/>
  <c r="G38" i="3"/>
  <c r="H38" i="3" s="1"/>
  <c r="G39" i="3"/>
  <c r="H39" i="3" s="1"/>
  <c r="G35" i="3"/>
  <c r="H35" i="3" s="1"/>
  <c r="G31" i="3"/>
  <c r="H31" i="3" s="1"/>
  <c r="G23" i="3"/>
  <c r="H23" i="3" s="1"/>
  <c r="G19" i="3"/>
  <c r="H19" i="3" s="1"/>
  <c r="G15" i="3"/>
  <c r="H15" i="3" s="1"/>
  <c r="H72" i="3" l="1"/>
  <c r="H80" i="3"/>
  <c r="H130" i="3"/>
  <c r="H98" i="3"/>
  <c r="H109" i="3"/>
  <c r="G35" i="7" s="1"/>
  <c r="H123" i="3"/>
  <c r="G37" i="7" s="1"/>
  <c r="H45" i="3"/>
  <c r="H16" i="3"/>
  <c r="G13" i="7" s="1"/>
  <c r="G45" i="7"/>
  <c r="H20" i="3"/>
  <c r="G15" i="7" s="1"/>
  <c r="H32" i="3"/>
  <c r="H40" i="3"/>
  <c r="G19" i="7" s="1"/>
  <c r="O13" i="6"/>
  <c r="G17" i="7" l="1"/>
  <c r="G33" i="7"/>
  <c r="G10" i="7"/>
  <c r="O298" i="6"/>
  <c r="O297" i="6"/>
  <c r="O296" i="6" l="1"/>
  <c r="O308" i="6"/>
  <c r="E29" i="4" l="1"/>
  <c r="E27" i="4"/>
  <c r="E25" i="4"/>
  <c r="O306" i="6"/>
  <c r="M18" i="4"/>
  <c r="F16" i="4"/>
  <c r="F17" i="4"/>
  <c r="F19" i="4"/>
  <c r="F18" i="4"/>
  <c r="F15" i="4"/>
  <c r="F20" i="4" l="1"/>
  <c r="O316" i="6"/>
  <c r="O265" i="6" l="1"/>
  <c r="O261" i="6"/>
  <c r="O257" i="6"/>
  <c r="O253" i="6"/>
  <c r="F4" i="4"/>
  <c r="F9" i="4"/>
  <c r="F8" i="4"/>
  <c r="F7" i="4"/>
  <c r="F6" i="4"/>
  <c r="F5" i="4"/>
  <c r="G249" i="6"/>
  <c r="O249" i="6" s="1"/>
  <c r="G248" i="6"/>
  <c r="O248" i="6" s="1"/>
  <c r="G247" i="6"/>
  <c r="I247" i="6"/>
  <c r="K247" i="6"/>
  <c r="M245" i="6"/>
  <c r="K245" i="6"/>
  <c r="I245" i="6"/>
  <c r="G245" i="6"/>
  <c r="O237" i="6"/>
  <c r="O236" i="6"/>
  <c r="O231" i="6"/>
  <c r="O230" i="6"/>
  <c r="O229" i="6"/>
  <c r="O228" i="6"/>
  <c r="O227" i="6"/>
  <c r="O225" i="6"/>
  <c r="O224" i="6"/>
  <c r="O214" i="6"/>
  <c r="O204" i="6"/>
  <c r="O186" i="6"/>
  <c r="O184" i="6"/>
  <c r="O182" i="6"/>
  <c r="O181" i="6"/>
  <c r="O176" i="6"/>
  <c r="O179" i="6"/>
  <c r="O178" i="6"/>
  <c r="O195" i="6"/>
  <c r="O194" i="6"/>
  <c r="O173" i="6"/>
  <c r="O172" i="6"/>
  <c r="O171" i="6"/>
  <c r="O170" i="6"/>
  <c r="K167" i="6"/>
  <c r="O167" i="6" s="1"/>
  <c r="O166" i="6"/>
  <c r="O147" i="6"/>
  <c r="O148" i="6"/>
  <c r="O140" i="6"/>
  <c r="O139" i="6"/>
  <c r="O156" i="6"/>
  <c r="O155" i="6"/>
  <c r="O151" i="6"/>
  <c r="O152" i="6"/>
  <c r="O158" i="6"/>
  <c r="O157" i="6"/>
  <c r="O144" i="6"/>
  <c r="O150" i="6"/>
  <c r="O149" i="6"/>
  <c r="O159" i="6"/>
  <c r="O160" i="6"/>
  <c r="O143" i="6"/>
  <c r="O142" i="6"/>
  <c r="O141" i="6"/>
  <c r="O145" i="6"/>
  <c r="O153" i="6" s="1"/>
  <c r="O191" i="6" s="1"/>
  <c r="O193" i="6" s="1"/>
  <c r="O226" i="6" l="1"/>
  <c r="F10" i="4"/>
  <c r="G10" i="4" s="1"/>
  <c r="O245" i="6"/>
  <c r="O247" i="6"/>
  <c r="O180" i="6"/>
  <c r="O165" i="6"/>
  <c r="H163" i="6" s="1"/>
  <c r="O154" i="6"/>
  <c r="O161" i="6" s="1"/>
  <c r="O169" i="6"/>
  <c r="J163" i="6" s="1"/>
  <c r="O146" i="6"/>
  <c r="O190" i="6" s="1"/>
  <c r="O192" i="6" s="1"/>
  <c r="O138" i="6"/>
  <c r="O114" i="6"/>
  <c r="F117" i="6"/>
  <c r="O117" i="6" s="1"/>
  <c r="M133" i="6"/>
  <c r="O132" i="6"/>
  <c r="L198" i="6" s="1"/>
  <c r="K116" i="6"/>
  <c r="O116" i="6" s="1"/>
  <c r="O110" i="6"/>
  <c r="N126" i="6"/>
  <c r="N127" i="6"/>
  <c r="N125" i="6"/>
  <c r="K113" i="6"/>
  <c r="O113" i="6" s="1"/>
  <c r="H108" i="6"/>
  <c r="O108" i="6" s="1"/>
  <c r="L107" i="6"/>
  <c r="H107" i="6"/>
  <c r="O103" i="6"/>
  <c r="J100" i="6"/>
  <c r="O94" i="6"/>
  <c r="O134" i="6" s="1"/>
  <c r="H76" i="6"/>
  <c r="L68" i="6"/>
  <c r="I68" i="6"/>
  <c r="I66" i="6"/>
  <c r="O66" i="6" s="1"/>
  <c r="I67" i="6" s="1"/>
  <c r="O67" i="6" s="1"/>
  <c r="O65" i="6"/>
  <c r="J65" i="6"/>
  <c r="O64" i="6"/>
  <c r="J64" i="6"/>
  <c r="L62" i="6"/>
  <c r="L61" i="6"/>
  <c r="O55" i="6"/>
  <c r="G58" i="6" s="1"/>
  <c r="O58" i="6" s="1"/>
  <c r="O59" i="6" s="1"/>
  <c r="O51" i="6"/>
  <c r="O50" i="6"/>
  <c r="O49" i="6"/>
  <c r="I41" i="6"/>
  <c r="M52" i="6" s="1"/>
  <c r="O38" i="6"/>
  <c r="L35" i="6"/>
  <c r="L34" i="6"/>
  <c r="L33" i="6"/>
  <c r="H31" i="6"/>
  <c r="H30" i="6"/>
  <c r="O30" i="6" s="1"/>
  <c r="L28" i="6"/>
  <c r="L27" i="6"/>
  <c r="L26" i="6"/>
  <c r="N21" i="6"/>
  <c r="H20" i="6"/>
  <c r="N20" i="6" s="1"/>
  <c r="O163" i="6" l="1"/>
  <c r="I198" i="6" s="1"/>
  <c r="O198" i="6" s="1"/>
  <c r="O199" i="6" s="1"/>
  <c r="O112" i="6"/>
  <c r="H131" i="6"/>
  <c r="O131" i="6" s="1"/>
  <c r="O130" i="6" s="1"/>
  <c r="O115" i="6"/>
  <c r="N19" i="6"/>
  <c r="H47" i="6"/>
  <c r="I63" i="6"/>
  <c r="O63" i="6" s="1"/>
  <c r="O98" i="6"/>
  <c r="O124" i="6"/>
  <c r="O79" i="6"/>
  <c r="O82" i="6" s="1"/>
  <c r="O73" i="6"/>
  <c r="O68" i="6"/>
  <c r="O69" i="6" s="1"/>
  <c r="O107" i="6"/>
  <c r="H109" i="6" s="1"/>
  <c r="O109" i="6" s="1"/>
  <c r="O111" i="6" s="1"/>
  <c r="O35" i="6"/>
  <c r="O28" i="6"/>
  <c r="O60" i="6"/>
  <c r="I44" i="6"/>
  <c r="O44" i="6" s="1"/>
  <c r="O52" i="6"/>
  <c r="O53" i="6" s="1"/>
  <c r="O56" i="6"/>
  <c r="I42" i="6"/>
  <c r="O42" i="6" s="1"/>
  <c r="K133" i="6" l="1"/>
  <c r="O133" i="6" s="1"/>
  <c r="O17" i="6"/>
  <c r="N22" i="6"/>
  <c r="N12" i="6"/>
  <c r="L9" i="6"/>
  <c r="G21" i="7" l="1"/>
  <c r="D21" i="7" l="1"/>
  <c r="D45" i="7"/>
  <c r="F45" i="7"/>
  <c r="E45" i="7"/>
  <c r="B45" i="7"/>
  <c r="C45" i="7"/>
  <c r="F21" i="7" l="1"/>
  <c r="C21" i="7"/>
  <c r="B21" i="7"/>
  <c r="E21" i="7"/>
  <c r="F15" i="7"/>
  <c r="H50" i="3"/>
  <c r="H137" i="3" s="1"/>
  <c r="G31" i="7"/>
  <c r="G41" i="7"/>
  <c r="G23" i="7" l="1"/>
  <c r="C23" i="7" s="1"/>
  <c r="C15" i="7"/>
  <c r="B15" i="7"/>
  <c r="D15" i="7"/>
  <c r="E15" i="7"/>
  <c r="F31" i="7"/>
  <c r="D31" i="7"/>
  <c r="B31" i="7"/>
  <c r="C31" i="7"/>
  <c r="E31" i="7"/>
  <c r="E19" i="7"/>
  <c r="C19" i="7"/>
  <c r="F19" i="7"/>
  <c r="B19" i="7"/>
  <c r="D19" i="7"/>
  <c r="F17" i="7"/>
  <c r="E17" i="7"/>
  <c r="D17" i="7"/>
  <c r="B17" i="7"/>
  <c r="C17" i="7"/>
  <c r="C41" i="7"/>
  <c r="E41" i="7"/>
  <c r="D41" i="7"/>
  <c r="B41" i="7"/>
  <c r="F41" i="7"/>
  <c r="G29" i="7"/>
  <c r="G27" i="7"/>
  <c r="G25" i="7"/>
  <c r="G39" i="7"/>
  <c r="G43" i="7"/>
  <c r="B23" i="7" l="1"/>
  <c r="E23" i="7"/>
  <c r="F23" i="7"/>
  <c r="D23" i="7"/>
  <c r="C37" i="7"/>
  <c r="E37" i="7"/>
  <c r="B37" i="7"/>
  <c r="D37" i="7"/>
  <c r="F37" i="7"/>
  <c r="F33" i="7"/>
  <c r="D33" i="7"/>
  <c r="C33" i="7"/>
  <c r="E33" i="7"/>
  <c r="B33" i="7"/>
  <c r="C43" i="7"/>
  <c r="E43" i="7"/>
  <c r="F43" i="7"/>
  <c r="D43" i="7"/>
  <c r="B43" i="7"/>
  <c r="E27" i="7"/>
  <c r="C27" i="7"/>
  <c r="D27" i="7"/>
  <c r="B27" i="7"/>
  <c r="F27" i="7"/>
  <c r="C39" i="7"/>
  <c r="B39" i="7"/>
  <c r="F39" i="7"/>
  <c r="D39" i="7"/>
  <c r="E39" i="7"/>
  <c r="D29" i="7"/>
  <c r="B29" i="7"/>
  <c r="C29" i="7"/>
  <c r="E29" i="7"/>
  <c r="F29" i="7"/>
  <c r="C35" i="7"/>
  <c r="E35" i="7"/>
  <c r="B35" i="7"/>
  <c r="D35" i="7"/>
  <c r="F35" i="7"/>
  <c r="F25" i="7"/>
  <c r="D25" i="7"/>
  <c r="C25" i="7"/>
  <c r="B25" i="7"/>
  <c r="E25" i="7"/>
  <c r="G47" i="7" l="1"/>
  <c r="G49" i="7"/>
  <c r="G44" i="7" s="1"/>
  <c r="E13" i="7"/>
  <c r="F13" i="7"/>
  <c r="D13" i="7"/>
  <c r="C13" i="7"/>
  <c r="B13" i="7"/>
  <c r="D47" i="7" l="1"/>
  <c r="D49" i="7" s="1"/>
  <c r="D50" i="7" s="1"/>
  <c r="F47" i="7"/>
  <c r="F49" i="7" s="1"/>
  <c r="F50" i="7" s="1"/>
  <c r="B47" i="7"/>
  <c r="B49" i="7" s="1"/>
  <c r="E47" i="7"/>
  <c r="E49" i="7" s="1"/>
  <c r="E50" i="7" s="1"/>
  <c r="C47" i="7"/>
  <c r="C49" i="7" s="1"/>
  <c r="C50" i="7" s="1"/>
  <c r="G18" i="7"/>
  <c r="G28" i="7"/>
  <c r="G36" i="7"/>
  <c r="G32" i="7"/>
  <c r="G30" i="7"/>
  <c r="G38" i="7"/>
  <c r="G22" i="7"/>
  <c r="G26" i="7"/>
  <c r="G14" i="7"/>
  <c r="G34" i="7"/>
  <c r="G46" i="7"/>
  <c r="G20" i="7"/>
  <c r="G48" i="7"/>
  <c r="G16" i="7"/>
  <c r="G40" i="7"/>
  <c r="G42" i="7"/>
  <c r="G24" i="7"/>
  <c r="B50" i="7" l="1"/>
  <c r="G50" i="7" s="1"/>
  <c r="B51" i="7"/>
  <c r="C51" i="7" s="1"/>
  <c r="D51" i="7" s="1"/>
  <c r="E51" i="7" s="1"/>
  <c r="F51" i="7" s="1"/>
</calcChain>
</file>

<file path=xl/sharedStrings.xml><?xml version="1.0" encoding="utf-8"?>
<sst xmlns="http://schemas.openxmlformats.org/spreadsheetml/2006/main" count="1990" uniqueCount="958">
  <si>
    <t>18.0</t>
  </si>
  <si>
    <t>18.1</t>
  </si>
  <si>
    <t>Subtotal item 18.0</t>
  </si>
  <si>
    <t xml:space="preserve">Planilha Orçamentária </t>
  </si>
  <si>
    <t>1.0</t>
  </si>
  <si>
    <t xml:space="preserve"> m²</t>
  </si>
  <si>
    <t>1.1</t>
  </si>
  <si>
    <t>1.2</t>
  </si>
  <si>
    <t>1.3</t>
  </si>
  <si>
    <t>1.4</t>
  </si>
  <si>
    <t>Subtotal item 1.0</t>
  </si>
  <si>
    <t>m³</t>
  </si>
  <si>
    <t>2.0</t>
  </si>
  <si>
    <t>2.1</t>
  </si>
  <si>
    <t>2.2</t>
  </si>
  <si>
    <t>3.1.2</t>
  </si>
  <si>
    <t>3.2.2</t>
  </si>
  <si>
    <t>3.0</t>
  </si>
  <si>
    <t>m²</t>
  </si>
  <si>
    <t>Subtotal item 2.0</t>
  </si>
  <si>
    <t>Subtotal item 3.0</t>
  </si>
  <si>
    <t>3.1</t>
  </si>
  <si>
    <t>3.1.1</t>
  </si>
  <si>
    <t>3.2</t>
  </si>
  <si>
    <t>3.2.1</t>
  </si>
  <si>
    <t>4.1.1</t>
  </si>
  <si>
    <t>4.2.1</t>
  </si>
  <si>
    <t>4.0</t>
  </si>
  <si>
    <t>4.1</t>
  </si>
  <si>
    <t>4.2</t>
  </si>
  <si>
    <t>4.3</t>
  </si>
  <si>
    <t>4.3.1</t>
  </si>
  <si>
    <t>Subtotal item 4.0</t>
  </si>
  <si>
    <t>5.0</t>
  </si>
  <si>
    <t>5.1</t>
  </si>
  <si>
    <t>Subtotal item 5.0</t>
  </si>
  <si>
    <t>6.0</t>
  </si>
  <si>
    <t>6.1</t>
  </si>
  <si>
    <t>6.1.1</t>
  </si>
  <si>
    <t>6.1.2</t>
  </si>
  <si>
    <t>6.2</t>
  </si>
  <si>
    <t>6.2.1</t>
  </si>
  <si>
    <t>Subtotal item 6.0</t>
  </si>
  <si>
    <t>7.0</t>
  </si>
  <si>
    <t>7.1</t>
  </si>
  <si>
    <t>7.2</t>
  </si>
  <si>
    <t>7.3</t>
  </si>
  <si>
    <t>m</t>
  </si>
  <si>
    <t>8.0</t>
  </si>
  <si>
    <t>8.1</t>
  </si>
  <si>
    <t>8.2</t>
  </si>
  <si>
    <t>Subtotal item 8.0</t>
  </si>
  <si>
    <t>9.0</t>
  </si>
  <si>
    <t>9.1</t>
  </si>
  <si>
    <t>9.2</t>
  </si>
  <si>
    <t>9.3</t>
  </si>
  <si>
    <t>9.4</t>
  </si>
  <si>
    <t>9.5</t>
  </si>
  <si>
    <t>Subtotal item 9.0</t>
  </si>
  <si>
    <t>Subtotal item 10.0</t>
  </si>
  <si>
    <t>11.0</t>
  </si>
  <si>
    <t>Subtotal item 11.0</t>
  </si>
  <si>
    <t>11.1</t>
  </si>
  <si>
    <t>11.2</t>
  </si>
  <si>
    <t>11.3</t>
  </si>
  <si>
    <t>12.0</t>
  </si>
  <si>
    <t>Subtotal item 12.0</t>
  </si>
  <si>
    <t>13.0</t>
  </si>
  <si>
    <t>14.0</t>
  </si>
  <si>
    <t>14.1</t>
  </si>
  <si>
    <t>Subtotal item 14.0</t>
  </si>
  <si>
    <t>15.0</t>
  </si>
  <si>
    <t>15.1</t>
  </si>
  <si>
    <t>15.2</t>
  </si>
  <si>
    <t>16.0</t>
  </si>
  <si>
    <t>16.1</t>
  </si>
  <si>
    <t>16.2</t>
  </si>
  <si>
    <t>unid</t>
  </si>
  <si>
    <t>Item</t>
  </si>
  <si>
    <t>Descrição dos Serviços</t>
  </si>
  <si>
    <t>Unid.</t>
  </si>
  <si>
    <t>Quant.</t>
  </si>
  <si>
    <t xml:space="preserve">Serviços Preliminares </t>
  </si>
  <si>
    <t xml:space="preserve">Infra-estrutura: Fundações </t>
  </si>
  <si>
    <t>Superestrutura</t>
  </si>
  <si>
    <t>Esquadrias</t>
  </si>
  <si>
    <t>Pavimentação</t>
  </si>
  <si>
    <t>Pintura</t>
  </si>
  <si>
    <t>Instalação Elétrica</t>
  </si>
  <si>
    <t>Instalação Hidráulica</t>
  </si>
  <si>
    <t>Instalação Sanitária</t>
  </si>
  <si>
    <t>Serviços Diversos</t>
  </si>
  <si>
    <t>Serviços Finais</t>
  </si>
  <si>
    <t>3.1.3</t>
  </si>
  <si>
    <t>3.1.4</t>
  </si>
  <si>
    <t>Kg</t>
  </si>
  <si>
    <t>3.1.5</t>
  </si>
  <si>
    <t>3.1.6</t>
  </si>
  <si>
    <t>3.2.3</t>
  </si>
  <si>
    <t>4.1.2</t>
  </si>
  <si>
    <t>4.1.3</t>
  </si>
  <si>
    <t>4.1.4</t>
  </si>
  <si>
    <t>cj</t>
  </si>
  <si>
    <t>Total Geral</t>
  </si>
  <si>
    <t>Cód.SINAPI</t>
  </si>
  <si>
    <t>3.2.4</t>
  </si>
  <si>
    <t>3.1.7</t>
  </si>
  <si>
    <t>3.2.5</t>
  </si>
  <si>
    <t>4.1.5</t>
  </si>
  <si>
    <t>BDI:</t>
  </si>
  <si>
    <t>3.2.6</t>
  </si>
  <si>
    <t>3.2.7</t>
  </si>
  <si>
    <t>3.2.8</t>
  </si>
  <si>
    <t>11.4</t>
  </si>
  <si>
    <t>11.5</t>
  </si>
  <si>
    <t>14.1.1</t>
  </si>
  <si>
    <t>14.1.2</t>
  </si>
  <si>
    <t>14.1.3</t>
  </si>
  <si>
    <t>14.1.4</t>
  </si>
  <si>
    <t>14.1.6</t>
  </si>
  <si>
    <t>14.1.5</t>
  </si>
  <si>
    <t>14.1.7</t>
  </si>
  <si>
    <t>14.1.8</t>
  </si>
  <si>
    <t>14.2.1</t>
  </si>
  <si>
    <t>14.2.2</t>
  </si>
  <si>
    <t>14.2.3</t>
  </si>
  <si>
    <t>14.2.4</t>
  </si>
  <si>
    <t>16.3</t>
  </si>
  <si>
    <t>Disjuntores</t>
  </si>
  <si>
    <t>Cód. SINAPI</t>
  </si>
  <si>
    <t>Descrição do Insumo</t>
  </si>
  <si>
    <t>Coef.</t>
  </si>
  <si>
    <t>Valor Unit.</t>
  </si>
  <si>
    <t>Valor Total</t>
  </si>
  <si>
    <t>kg</t>
  </si>
  <si>
    <t>Valor Total Unitário</t>
  </si>
  <si>
    <t>V.Unit.(R$)</t>
  </si>
  <si>
    <t>V.Total(R$)</t>
  </si>
  <si>
    <t>Data Base:</t>
  </si>
  <si>
    <t>m3</t>
  </si>
  <si>
    <t>m2</t>
  </si>
  <si>
    <t>4.2.2</t>
  </si>
  <si>
    <t>4.2.3</t>
  </si>
  <si>
    <t>4.2.4</t>
  </si>
  <si>
    <t>4.2.5</t>
  </si>
  <si>
    <t>Revestimento</t>
  </si>
  <si>
    <t>Revestimento Interno</t>
  </si>
  <si>
    <t>8.1.1</t>
  </si>
  <si>
    <t>8.1.2</t>
  </si>
  <si>
    <t>8.1.3</t>
  </si>
  <si>
    <t>8.1.4</t>
  </si>
  <si>
    <t>8.1.5</t>
  </si>
  <si>
    <t>4.4</t>
  </si>
  <si>
    <t>4.4.1</t>
  </si>
  <si>
    <t>10.0</t>
  </si>
  <si>
    <t>10.1</t>
  </si>
  <si>
    <t>10.2</t>
  </si>
  <si>
    <t>10.1.1</t>
  </si>
  <si>
    <t>APLICAÇÃO DE FUNDO SELADOR ACRÍLICO EM PAREDES, UMA DEMÃO. AF_06/2014</t>
  </si>
  <si>
    <t>10.1.2</t>
  </si>
  <si>
    <t>APLICAÇÃO MANUAL DE PINTURA COM TINTA LÁTEX ACRÍLICA EM PAREDES, DUAS DEMÃOS. AF_06/2014</t>
  </si>
  <si>
    <t>10.2.1</t>
  </si>
  <si>
    <t>10.2.2</t>
  </si>
  <si>
    <t>FUNDO SINTETICO NIVELADOR BRANCO</t>
  </si>
  <si>
    <t>PINTURA ESMALTE BRILHANTE PARA MADEIRA, DUAS DEMAOS, SOBRE FUNDO NIVELADOR BRANCO</t>
  </si>
  <si>
    <t>74065/3</t>
  </si>
  <si>
    <t>10.1.3</t>
  </si>
  <si>
    <t>10.1.4</t>
  </si>
  <si>
    <t>10.1.5</t>
  </si>
  <si>
    <t>10.1.6</t>
  </si>
  <si>
    <t>11.1.1</t>
  </si>
  <si>
    <t>11.1.2</t>
  </si>
  <si>
    <t>11.2.1</t>
  </si>
  <si>
    <t>DISJUNTOR MONOPOLAR TIPO DIN, CORRENTE NOMINAL DE 16A - FORNECIMENTO E INSTALAÇÃO. AF_04/2016</t>
  </si>
  <si>
    <t>11.2.2</t>
  </si>
  <si>
    <t>Luminárias internas</t>
  </si>
  <si>
    <t>11.3.1</t>
  </si>
  <si>
    <t>11.3.2</t>
  </si>
  <si>
    <t>11.4.1</t>
  </si>
  <si>
    <t>Pontos Elétricos</t>
  </si>
  <si>
    <t>11.4.2</t>
  </si>
  <si>
    <t>11.4.3</t>
  </si>
  <si>
    <t>11.5.1</t>
  </si>
  <si>
    <t>11.5.2</t>
  </si>
  <si>
    <t>11.5.3</t>
  </si>
  <si>
    <t>11.5.4</t>
  </si>
  <si>
    <t>11.5.5</t>
  </si>
  <si>
    <t>11.5.6</t>
  </si>
  <si>
    <t>11.5.7</t>
  </si>
  <si>
    <t>17.0</t>
  </si>
  <si>
    <t>17.1</t>
  </si>
  <si>
    <t>17.2</t>
  </si>
  <si>
    <t>17.3</t>
  </si>
  <si>
    <t>17.4</t>
  </si>
  <si>
    <t>16.4</t>
  </si>
  <si>
    <t>16.5</t>
  </si>
  <si>
    <t>16.6</t>
  </si>
  <si>
    <t>12.1</t>
  </si>
  <si>
    <t>Louças, Metais e Equipamentos</t>
  </si>
  <si>
    <t>REGISTRO DE GAVETA BRUTO, LATÃO, ROSCÁVEL, 3/4", COM ACABAMENTO E CANOPLA CROMADOS. FORNECIDO E INSTALADO EM RAMAL DE ÁGUA. AF_12/2014</t>
  </si>
  <si>
    <t>TUBO PVC, SERIE NORMAL, ESGOTO PREDIAL, DN 100 MM, FORNECIDO E INSTALADO EM RAMAL DE DESCARGA OU RAMAL DE ESGOTO SANITÁRIO. AF_12/2014</t>
  </si>
  <si>
    <t>TUBO PVC, SERIE NORMAL, ESGOTO PREDIAL, DN 50 MM, FORNECIDO E INSTALADO EM RAMAL DE DESCARGA OU RAMAL DE ESGOTO SANITÁRIO. AF_12/2014</t>
  </si>
  <si>
    <t>TUBO PVC, SERIE NORMAL, ESGOTO PREDIAL, DN 40 MM, FORNECIDO E INSTALADO EM RAMAL DE DESCARGA OU RAMAL DE ESGOTO SANITÁRIO. AF_12/2014</t>
  </si>
  <si>
    <t>RALO SIFONADO, PVC, DN 100 X 40 MM, JUNTA SOLDÁVEL, FORNECIDO E INSTALADO EM RAMAL DE DESCARGA OU EM RAMAL DE ESGOTO SANITÁRIO. AF_12/2014</t>
  </si>
  <si>
    <t>CAIXA DE INSPEÇÃO EM ALVENARIA DE TIJOLO MACIÇO 60X60X60CM, REVESTIDA INTERNAMENTO COM BARRA LISA (CIMENTO E AREIA, TRAÇO 1:4) E=2,0CM, COM TAMPA PRÉ-MOLDADA DE CONCRETO E FUNDO DE CONCRETO 15MPA TIPO C - ESCAVAÇÃO E CONFECÇÃO</t>
  </si>
  <si>
    <t>74104/1</t>
  </si>
  <si>
    <t>ADAPTADOR CURTO COM BOLSA E ROSCA PARA REGISTRO, PVC, SOLDÁVEL, DN 25MM X 3/4, INSTALADO EM RAMAL DE DISTRIBUIÇÃO DE ÁGUA - FORNECIMENTO E INSTALAÇÃO. AF_12/2014</t>
  </si>
  <si>
    <t>TE, PVC, SOLDÁVEL, DN 25MM, INSTALADO EM RAMAL OU SUB-RAMAL DE ÁGUA - FORNECIMENTO E INSTALAÇÃO. AF_12/2014</t>
  </si>
  <si>
    <t>JOELHO 90 GRAUS COM BUCHA DE LATÃO, PVC, SOLDÁVEL, DN 25MM, X 1/2 INSTALADO EM RAMAL OU SUB-RAMAL DE ÁGUA - FORNECIMENTO E INSTALAÇÃO. AF_12/2014</t>
  </si>
  <si>
    <t>JOELHO 90 GRAUS, PVC, SERIE NORMAL, ESGOTO PREDIAL, DN 40 MM, JUNTA SOLDÁVEL, FORNECIDO E INSTALADO EM RAMAL DE DESCARGA OU RAMAL DE ESGOTO SANITÁRIO. AF_12/2014</t>
  </si>
  <si>
    <t>JOELHO 90 GRAUS, PVC, SERIE NORMAL, ESGOTO PREDIAL, DN 50 MM, JUNTA ELÁSTICA, FORNECIDO E INSTALADO EM RAMAL DE DESCARGA OU RAMAL DE ESGOTO SANITÁRIO. AF_12/2014</t>
  </si>
  <si>
    <t>JOELHO 90 GRAUS, PVC, SERIE NORMAL, ESGOTO PREDIAL, DN 100 MM, JUNTA ELÁSTICA, FORNECIDO E INSTALADO EM RAMAL DE DESCARGA OU RAMAL DE ESGOTO SANITÁRIO. AF_12/2014</t>
  </si>
  <si>
    <t>12.1.1</t>
  </si>
  <si>
    <t>12.1.2</t>
  </si>
  <si>
    <t>12.1.3</t>
  </si>
  <si>
    <t>12.1.4</t>
  </si>
  <si>
    <t>12.1.5</t>
  </si>
  <si>
    <t>12.1.6</t>
  </si>
  <si>
    <t>12.2.1</t>
  </si>
  <si>
    <t>12.2</t>
  </si>
  <si>
    <t>12.2.2</t>
  </si>
  <si>
    <t>12.2.3</t>
  </si>
  <si>
    <t>12.2.4</t>
  </si>
  <si>
    <t>12.2.5</t>
  </si>
  <si>
    <t>12.2.6</t>
  </si>
  <si>
    <t>12.3</t>
  </si>
  <si>
    <t>12.3.1</t>
  </si>
  <si>
    <t>12.3.2</t>
  </si>
  <si>
    <t>14.2</t>
  </si>
  <si>
    <t>12.3.3</t>
  </si>
  <si>
    <t>13.1</t>
  </si>
  <si>
    <t>13.2</t>
  </si>
  <si>
    <t>13.1.1</t>
  </si>
  <si>
    <t>13.1.2</t>
  </si>
  <si>
    <t>13.1.3</t>
  </si>
  <si>
    <t>13.1.4</t>
  </si>
  <si>
    <t>13.1.5</t>
  </si>
  <si>
    <t>13.1.6</t>
  </si>
  <si>
    <t>13.1.7</t>
  </si>
  <si>
    <t>13.1.8</t>
  </si>
  <si>
    <t>13.1.9</t>
  </si>
  <si>
    <t>13.1.10</t>
  </si>
  <si>
    <t>13.2.1</t>
  </si>
  <si>
    <t>13.2.2</t>
  </si>
  <si>
    <t>13.3</t>
  </si>
  <si>
    <t>RESPONSÁVEL TÉCNICO ORÇAMENTO: ENGENHEIRO CIVIL MÁRCIO RADAELLI - CREA/RS 112377</t>
  </si>
  <si>
    <t>14.2.5</t>
  </si>
  <si>
    <t>Obra: Implantação e Modernização Infraestrutura Esportiva - Quadra em Grama Sintética, Vestiários e Sanitários.</t>
  </si>
  <si>
    <t>Proprietário: Prefeitura Municipal de Nova Bréscia.</t>
  </si>
  <si>
    <t>Local: Praça da Matriz, Centro – Nova Bréscia/RS.</t>
  </si>
  <si>
    <t>Memória de Cálculo Quadra Esportiva e Anexos.</t>
  </si>
  <si>
    <t>SERVIÇOS PRELIMINARES</t>
  </si>
  <si>
    <t>MOVIMENTAÇÃO DE TERRA</t>
  </si>
  <si>
    <t>FUNDAÇÕES</t>
  </si>
  <si>
    <t>ALVENARIAS</t>
  </si>
  <si>
    <t>ESQUADRIAS</t>
  </si>
  <si>
    <t>IMPERMEABILIZAÇÕES</t>
  </si>
  <si>
    <t>REVESTIMENTOS</t>
  </si>
  <si>
    <t>PAVIMENTAÇÃO</t>
  </si>
  <si>
    <t>PINTURA</t>
  </si>
  <si>
    <t>INSTALAÇÕES ELÉTRICAS</t>
  </si>
  <si>
    <t>INSTALAÇÕES HIDRÁULICAS</t>
  </si>
  <si>
    <t>INSTALAÇÕES SANITÁRIAS</t>
  </si>
  <si>
    <t>QUADRA EM GRAMA SINTÉTICA</t>
  </si>
  <si>
    <t>SERVIÇOS DIVERSOS</t>
  </si>
  <si>
    <t>SERVIÇOS FINAIS</t>
  </si>
  <si>
    <t>PLACA DE OBRA</t>
  </si>
  <si>
    <t>EST. DE CONCRETO ARMADO</t>
  </si>
  <si>
    <t>DRENAGEM ÁGUAS PLUVIAIS</t>
  </si>
  <si>
    <t>1,25m</t>
  </si>
  <si>
    <t>2,00m</t>
  </si>
  <si>
    <t>=</t>
  </si>
  <si>
    <t>DEPÓSITO EM CANTEIRO DE OBRAS</t>
  </si>
  <si>
    <t>x</t>
  </si>
  <si>
    <r>
      <t>Área Anexos (Sanitários e Vestiários): 102,48 m</t>
    </r>
    <r>
      <rPr>
        <vertAlign val="superscript"/>
        <sz val="9"/>
        <rFont val="Arial"/>
        <family val="2"/>
      </rPr>
      <t>2</t>
    </r>
  </si>
  <si>
    <r>
      <t>Área Quadra Esportiva: 733,40 m</t>
    </r>
    <r>
      <rPr>
        <vertAlign val="superscript"/>
        <sz val="9"/>
        <rFont val="Arial"/>
        <family val="2"/>
      </rPr>
      <t>2</t>
    </r>
  </si>
  <si>
    <t>LOCAÇÃO DE OBRA</t>
  </si>
  <si>
    <t>5,40m</t>
  </si>
  <si>
    <t>REMOÇÃO MURO DE PEDRA</t>
  </si>
  <si>
    <t>ESCAVAÇÃO MECÂNICA ANEXOS</t>
  </si>
  <si>
    <t>Escavação do talude para locação com folga para impermeabilização</t>
  </si>
  <si>
    <t xml:space="preserve">REATERRO INTERNO </t>
  </si>
  <si>
    <t>2.3</t>
  </si>
  <si>
    <t>/2</t>
  </si>
  <si>
    <t>REATERRO AMPLIAÇÃO QUADRA</t>
  </si>
  <si>
    <t>+</t>
  </si>
  <si>
    <t>Área trazézio  X comprimento da quadra</t>
  </si>
  <si>
    <t>Volume aterro frente anexos</t>
  </si>
  <si>
    <t>m   x</t>
  </si>
  <si>
    <t>m   =</t>
  </si>
  <si>
    <t>SAPATAS</t>
  </si>
  <si>
    <t>ESCAVAÇÃO MECÂNICA SAPATAS</t>
  </si>
  <si>
    <t>80x80</t>
  </si>
  <si>
    <t>profundidade média 1,00m</t>
  </si>
  <si>
    <t>100x100</t>
  </si>
  <si>
    <t>120x100</t>
  </si>
  <si>
    <t>LASTRO MANUAL BRITA SOB SAPATA</t>
  </si>
  <si>
    <t>área das sapatas x 10cm de brita</t>
  </si>
  <si>
    <t>FORMA TÁBUA SAPATAS</t>
  </si>
  <si>
    <t>fórmula excel e projeto estrutural</t>
  </si>
  <si>
    <t>179,50Kg</t>
  </si>
  <si>
    <t>ARMAÇÃO ESTRUTURAS DE CONCRETO ARMADO CA50 10.0mm</t>
  </si>
  <si>
    <t>proj. estrutural</t>
  </si>
  <si>
    <t>CONCRETO SAPATAS</t>
  </si>
  <si>
    <t>altura de 30cm</t>
  </si>
  <si>
    <t>LANÇAMENTO DE CONCRETO</t>
  </si>
  <si>
    <t>REATERRO DAS SAPATAS</t>
  </si>
  <si>
    <t>volume da escavação descontando volume das sapatas e percoço dos pilares</t>
  </si>
  <si>
    <t>-</t>
  </si>
  <si>
    <t>VIGAS DE BALDRAME E PESCOÇO PILARES</t>
  </si>
  <si>
    <t>ESCAVAÇÃO MANUAL PARA AS VIGAS DE BALDRAME</t>
  </si>
  <si>
    <t>comprimento total de vigas de baldrame</t>
  </si>
  <si>
    <t>largura vala: 40cm e profundidade: 40cm</t>
  </si>
  <si>
    <t>LASTRO MANUAL BRITA SOB VIGAS</t>
  </si>
  <si>
    <t>área de valas por 8cm</t>
  </si>
  <si>
    <t>FORMA PESCOÇO DOS PILARES</t>
  </si>
  <si>
    <t>FORMA VIGAS DE BALDRAME</t>
  </si>
  <si>
    <t>comprimento total de vigas x dois lados x altura de 40cm</t>
  </si>
  <si>
    <t>3.2.9</t>
  </si>
  <si>
    <t>ARMAÇÃO PILAR E VIGA DE BALDRAME 5.0MM</t>
  </si>
  <si>
    <t>projeto estrutural</t>
  </si>
  <si>
    <t>ARMAÇÃO PILAR E VIGA DE BALDRAME 10.0MM</t>
  </si>
  <si>
    <t>ARMAÇÃO PILAR E VIGA DE BALDRAME 12.5MM</t>
  </si>
  <si>
    <t>pilar</t>
  </si>
  <si>
    <t>vigas</t>
  </si>
  <si>
    <t>CONCRETO FCK30MPa VIGAS E PILARES</t>
  </si>
  <si>
    <t>LANÇAMENTO CONCRETO</t>
  </si>
  <si>
    <t>3.3</t>
  </si>
  <si>
    <t>3.3.1</t>
  </si>
  <si>
    <t>3.3.2</t>
  </si>
  <si>
    <t>3.3.3</t>
  </si>
  <si>
    <t>3.3.4</t>
  </si>
  <si>
    <t>3.3.5</t>
  </si>
  <si>
    <t>3.3.6</t>
  </si>
  <si>
    <t>CINTA CONCRETO ARMADO QUADRA ESPORTIVA E LASTRO DE FUNDAÇÃO</t>
  </si>
  <si>
    <t>CONCRETO MAGRO SOB ALICERCE</t>
  </si>
  <si>
    <t>lastro de concreto com malha para fundação junto ampliação da quadra 60x15cm</t>
  </si>
  <si>
    <t>ARMAÇÃO FERRO 5.0MM LASTRO CONCRETO</t>
  </si>
  <si>
    <t>malha 5.0mm cada 15cm</t>
  </si>
  <si>
    <t>4 barras</t>
  </si>
  <si>
    <t>barra de 5.0mm - 0,154 Kg/m</t>
  </si>
  <si>
    <t>FORMA DE MADEIRA PARA AS CINTAS</t>
  </si>
  <si>
    <t>cintas de 15x30 encostadas quadra existente (17,00metros)</t>
  </si>
  <si>
    <t>cintas de 20x30 sobre alicerce (27,20m)</t>
  </si>
  <si>
    <t>cintas de 15x30  quadra existente (17,00metros)</t>
  </si>
  <si>
    <t>estribos</t>
  </si>
  <si>
    <t>86cm</t>
  </si>
  <si>
    <t>96cm</t>
  </si>
  <si>
    <t>Kg/m</t>
  </si>
  <si>
    <t>ARAMAÇÃO CINTAS FERRO  10.0MM</t>
  </si>
  <si>
    <t>barras</t>
  </si>
  <si>
    <t xml:space="preserve">4 barras de 10.0mm a 0,617 Kg/m </t>
  </si>
  <si>
    <t>ARMAÇÃO CINTAS FERRO  5.0MM</t>
  </si>
  <si>
    <t>CONCRETO FCK30MPa CINTAS</t>
  </si>
  <si>
    <t>15x30</t>
  </si>
  <si>
    <t>20x30</t>
  </si>
  <si>
    <t xml:space="preserve">4.1 </t>
  </si>
  <si>
    <t>PILARES</t>
  </si>
  <si>
    <t>ARMAÇÃO PILARES FERRO  5.0MM</t>
  </si>
  <si>
    <t>ARMAÇÃO PILARES FERRO  12.5MM</t>
  </si>
  <si>
    <t>MONTAGEM E DESMONTAGEM DE FORMA</t>
  </si>
  <si>
    <t>2 pilares de 20x30 H:2,15m</t>
  </si>
  <si>
    <t>VIGAS DE CONCRETO</t>
  </si>
  <si>
    <t>ARMAÇÃO VIGA LAJE 5.0MM</t>
  </si>
  <si>
    <t>ARMAÇÃO VIGA LAJE 10.0MM</t>
  </si>
  <si>
    <t>ARMAÇÃO VIGA LAJE 12.5MM</t>
  </si>
  <si>
    <t>LAJE PRÉ-MOLDADA E ESCADA LATERAL</t>
  </si>
  <si>
    <t>5,60x20,50-2,10x2,00</t>
  </si>
  <si>
    <t>A:</t>
  </si>
  <si>
    <t>4.3.2</t>
  </si>
  <si>
    <t>4.3.3</t>
  </si>
  <si>
    <t>4.3.4</t>
  </si>
  <si>
    <t>4.3.5</t>
  </si>
  <si>
    <t>MONTAGEM E DESMONTAGEM DE FORMA ESCADA</t>
  </si>
  <si>
    <t>ARMAÇÃO FERRAGEM 6.3MM</t>
  </si>
  <si>
    <t>ARMAÇÃO FERRAGEM 10.0MM</t>
  </si>
  <si>
    <t>CONCRETO FCK30MPa ESCADA</t>
  </si>
  <si>
    <t>espessura: 15</t>
  </si>
  <si>
    <t>espessura: 10</t>
  </si>
  <si>
    <t>VERGAS DE CONCRETO</t>
  </si>
  <si>
    <t>VERGA MOLD. IN LOCO SOB JANELAS</t>
  </si>
  <si>
    <t>MURO TIJOLO CERÂMICO INTEIRO</t>
  </si>
  <si>
    <t>5.2</t>
  </si>
  <si>
    <t>paredes verticais</t>
  </si>
  <si>
    <t>paredes horizontais</t>
  </si>
  <si>
    <t>somatório x 2,70m de altura</t>
  </si>
  <si>
    <t>PORTAS</t>
  </si>
  <si>
    <t>JANELAS</t>
  </si>
  <si>
    <t>PORTA DE MADEIRA SANITÁRIOS</t>
  </si>
  <si>
    <t>PORTA DE ALUMÍNIO DE ABRIR (EXTERNAS)</t>
  </si>
  <si>
    <t>JANELAS MAXIM-AR DE ALUMÍNIO</t>
  </si>
  <si>
    <t>2 janelas de 2,60X0,50</t>
  </si>
  <si>
    <t>2 janelas de 2,80X0,50</t>
  </si>
  <si>
    <t>2 janelas de 1,90X0,50</t>
  </si>
  <si>
    <t>8 unidades</t>
  </si>
  <si>
    <t>6 unidades 90x210</t>
  </si>
  <si>
    <t>muro contenção quadra H:70cm</t>
  </si>
  <si>
    <t>MURO TIJOLO CERÂMICO FURADO 19CM</t>
  </si>
  <si>
    <t>MURO TIJOLO CERÂMICO FURADO 14CM</t>
  </si>
  <si>
    <t>parede 19cm até viga</t>
  </si>
  <si>
    <t>parede 14cm H: 2,00m</t>
  </si>
  <si>
    <t>parede 14cm até viga</t>
  </si>
  <si>
    <t>IMPERMEABILIZAÇÃO MANTA 3MM VIGA BALDRAME PAREDE CONTATO ATERRO</t>
  </si>
  <si>
    <t>20cm</t>
  </si>
  <si>
    <t>comprimento total vigas de baldrame</t>
  </si>
  <si>
    <t>impermeabilização parede contra aterro</t>
  </si>
  <si>
    <t>:fundos 20,50x2,20 + 2 laterias 2,00x2,20</t>
  </si>
  <si>
    <t>IMPERMEABILIZAÇÃO HIDROASFALTO VIGAS DE BALDRAME</t>
  </si>
  <si>
    <t>IMPERMEABILIZAÇÃO LAJE COBERTURA</t>
  </si>
  <si>
    <t>REVESTIMENTO INTERNO</t>
  </si>
  <si>
    <t>CHAPISCO PAREDES</t>
  </si>
  <si>
    <t>CHAPISCO TETO</t>
  </si>
  <si>
    <t>8.2.1</t>
  </si>
  <si>
    <t>8.2.2</t>
  </si>
  <si>
    <t>8.2.3</t>
  </si>
  <si>
    <t>8.2.4</t>
  </si>
  <si>
    <t>REVESTIMENTO EXTERNO</t>
  </si>
  <si>
    <t>CHAPISCO EXTERNO</t>
  </si>
  <si>
    <t>PINGADEIRA</t>
  </si>
  <si>
    <t>8.1.6</t>
  </si>
  <si>
    <t>MASSA ÚNICA PARA PINTURA PAREDES</t>
  </si>
  <si>
    <t>MASSA ÚNICA PARA PINTURA TETO</t>
  </si>
  <si>
    <t>mureta 1,10m  - parapeito sobre laje</t>
  </si>
  <si>
    <t>(4,30x3,95)x2+(4,80x2,35+3,75x1,95)x2+2,00x1,80+1,85x2,35+20,10x0,90=</t>
  </si>
  <si>
    <t>Vestiário 01</t>
  </si>
  <si>
    <t>Vestiário 02</t>
  </si>
  <si>
    <t>WC Masc</t>
  </si>
  <si>
    <t>WC Fem</t>
  </si>
  <si>
    <t>PNE 01</t>
  </si>
  <si>
    <t>PNE 02</t>
  </si>
  <si>
    <t xml:space="preserve">(4,30+4,30+4,80+1,05+0,85+0,85+0,2)x2,90+(1,60x2+0,55x2+0,45+0,35x3+1,45x2)x2,00+2,60x2,25 = </t>
  </si>
  <si>
    <t xml:space="preserve">(4,30+4,30+4,80+1,05+0,85+0,85+0,2)x2,90+(1,45x6+0,55x2+0,45x2+0,35x6)x2,00+2,60x2,25 = </t>
  </si>
  <si>
    <t>(1,80+1,80+2) x 2,90 + 1,00 x 2,25</t>
  </si>
  <si>
    <t>(2,25+2,25+1,85) x 2,90 + 0,90 x 2,25</t>
  </si>
  <si>
    <t>EMBOÇO PARA CERÂMICA ATÉ H:2,00m</t>
  </si>
  <si>
    <t>REVESTIMENTO CERÂMICO h:2,00m</t>
  </si>
  <si>
    <t>(2,25+2,25+1,85) x 2,00 + 0,90 x 2,00</t>
  </si>
  <si>
    <t>(1,80+1,80+2) x 2,00 + 1,00 x 2,00</t>
  </si>
  <si>
    <t>(4,30+4,30+4,80+1,05+0,85+0,85+0,2)x0,90+2,60x0,25</t>
  </si>
  <si>
    <t xml:space="preserve">(4,30+4,30+4,80+1,05+0,85+0,85+0,2)x2,00+(1,60x2+0,55x2+0,45+0,35x3+1,45x2)x2,00+2,60x2,00 = </t>
  </si>
  <si>
    <t xml:space="preserve">(4,30+4,30+4,80+1,05+0,85+0,85+0,2)x2,00+(1,45x6+0,55x2+0,45x2+0,35x6)x2,00+2,60x2,00 = </t>
  </si>
  <si>
    <t>(2,25+2,25+1,85) x 0,90 + 0,90 x 0,25</t>
  </si>
  <si>
    <t>(1,80+1,80+2) x 0,90 + 1,00 x 0,25</t>
  </si>
  <si>
    <t>(4,30+1,75+1,30+1,40+1,40+0,65+0,65)x2,00</t>
  </si>
  <si>
    <t xml:space="preserve">(4,30+4,30+3,95)x2,90+(1,75+1,75+1,30+1,30+0,65+0,65)x2,00+2,80x2,25 = </t>
  </si>
  <si>
    <t xml:space="preserve">(4,30+2,40)x2,90+(1,55+4,30)x0,90+1,45x2,25+(1,75+1,45)x2,00+1,40x0,25 = </t>
  </si>
  <si>
    <t>EMBOÇO OU MASSA ÚNICA (FACHADA)</t>
  </si>
  <si>
    <t>EMBOÇO OU MASSA ÚNICA EXTERNA (LATERAIS E FUNDOS)</t>
  </si>
  <si>
    <t>fundos contra aterro</t>
  </si>
  <si>
    <t>laterais</t>
  </si>
  <si>
    <t>fachada</t>
  </si>
  <si>
    <t>(2x2,80x2,25+2x2,60x2,25+2x1,90x2,25)</t>
  </si>
  <si>
    <t>detalhe dos pilares na fachada (9unid)</t>
  </si>
  <si>
    <t>9x(0,25+0,2+0,25)x2,90</t>
  </si>
  <si>
    <t>vigas frontais</t>
  </si>
  <si>
    <t>20,10 x (0,40x0,15)</t>
  </si>
  <si>
    <t>somatório da massa única externa (fundos e laterais e fachada)</t>
  </si>
  <si>
    <t>janelas e mureta(parapreito)   (2*2,80+*2,60+2*1,90)+3,90+3,3+2,00</t>
  </si>
  <si>
    <t>PINTURA INTERNA</t>
  </si>
  <si>
    <t>FUNDO SELADOR EM PAREDES</t>
  </si>
  <si>
    <t>FUNDO SELADOR EM TETOS</t>
  </si>
  <si>
    <t>PINTURA ACRÍLICA EM PAREDES</t>
  </si>
  <si>
    <t>PINTURA ACRÍLICA EM TETOS</t>
  </si>
  <si>
    <t>FUNDO SINTÉTICO PORTAS</t>
  </si>
  <si>
    <t>PINTURA ESMALTE EM PORTAS</t>
  </si>
  <si>
    <t>quantitativo emboço/massa única paredes internas</t>
  </si>
  <si>
    <t>quantitativo emboço/massa única tetos</t>
  </si>
  <si>
    <t>8 unidades 70x190 (10cm afastada do piso)</t>
  </si>
  <si>
    <t>BASE COM BRITA GRADUADA</t>
  </si>
  <si>
    <t>(16,99+16,99+18,42+18,42+3,60+4,16+9,60)</t>
  </si>
  <si>
    <t>(16,99+16,99+18,42+18,42+3,60+4,16+9,60) x 10CM</t>
  </si>
  <si>
    <t>CONTRAPISO 6cm</t>
  </si>
  <si>
    <t>PISO PORCELANATO 60x60</t>
  </si>
  <si>
    <t>anexos e ampliação quadra esportiva</t>
  </si>
  <si>
    <t>(2,00x38,60) x 10CM</t>
  </si>
  <si>
    <t>vestiários</t>
  </si>
  <si>
    <t>RODAPÉ CERÂMICO - Vestiários</t>
  </si>
  <si>
    <t>área frontal anexos</t>
  </si>
  <si>
    <t>(4,30+2,40+1,45+1,75+1,45)x2</t>
  </si>
  <si>
    <t>(0,5+0,5+2x2,80+2x2,60+1+0,9+9x(0,25+0,2+0,25)</t>
  </si>
  <si>
    <t>CONTRAPISO SOBRE LAJE</t>
  </si>
  <si>
    <t>9.6</t>
  </si>
  <si>
    <t>9.7</t>
  </si>
  <si>
    <t>PISO CONCRETO AMPLIAÇÃO QUADRA</t>
  </si>
  <si>
    <t>(2,00x38,60)</t>
  </si>
  <si>
    <t>9.8</t>
  </si>
  <si>
    <t>MEIO FIO CALÇADAS</t>
  </si>
  <si>
    <t>(4,30+0,80+22,75+0,90)</t>
  </si>
  <si>
    <t>CALÇADAS CONCRETO</t>
  </si>
  <si>
    <t>PINTURA EXTERNA</t>
  </si>
  <si>
    <t>FUNDO SELADOR ACRÍLICO PAREDES EXTERNAS</t>
  </si>
  <si>
    <t>PINTURA ACRÍLICA TINTA TEXTURIZADA</t>
  </si>
  <si>
    <t>reboco ext. descontanto parte aterrada(imperm.)</t>
  </si>
  <si>
    <t>CENTRO DE DISTRIBUIÇÃO E ENTRADA DE ENERGIA</t>
  </si>
  <si>
    <t>11.1.3</t>
  </si>
  <si>
    <t>11.1.4</t>
  </si>
  <si>
    <t>ELETRODUTO LIGAÇÃO MEDIDOR ATÉ CD01 + PASSAGEM ATÉ QUADRA</t>
  </si>
  <si>
    <t>(15+1,50+1,50)</t>
  </si>
  <si>
    <t>CABO 10mm² MEDIDOR ATÉ CD01 - 5x10mm²</t>
  </si>
  <si>
    <t>QUADRO DE DISTRIBUICAO DE ENERGIA EM CHAPA DE ACO GALVANIZADO, PARA 12 DISJUNTORES TERMOMAGNETICOS MONOPOLARES, COM BARRAMENTO TRIFASICO E NEUTRO - FORNECIMENTO E INSTALACAO</t>
  </si>
  <si>
    <t>CENTRO DE DISTRIBUIÇÃO CD01</t>
  </si>
  <si>
    <t>CENTRO DE DISTRIBUIÇÃO 6 DISJUNTORES</t>
  </si>
  <si>
    <t>01 vestiário e 01 sanitário</t>
  </si>
  <si>
    <t>Centro de Distribuição e entrada de energia</t>
  </si>
  <si>
    <t>11.1.5</t>
  </si>
  <si>
    <t>CAIXA DE PASSAGEM ENTRADA DE ENERGIA</t>
  </si>
  <si>
    <t>DISJUNTOR MONOPOLAR TIPO DIN, CORRENTE NOMINAL DE 20A - FORNECIMENTO E INSTALAÇÃO. AF_04/2016</t>
  </si>
  <si>
    <t>11.2.3</t>
  </si>
  <si>
    <t>DISJUNTORES</t>
  </si>
  <si>
    <t>DISJUNTOR 32A</t>
  </si>
  <si>
    <t>DISJUNTOR 20A</t>
  </si>
  <si>
    <t>DISJUNTOR 16A</t>
  </si>
  <si>
    <t>4 chuveiros + 5 postes quadra esportiva</t>
  </si>
  <si>
    <t>3 disjuntores para iluminação</t>
  </si>
  <si>
    <t>3 disjuntores para tomadas</t>
  </si>
  <si>
    <t>ILUMINAÇÃO INTERNA</t>
  </si>
  <si>
    <t>LUMINÁRIA ANEXOS</t>
  </si>
  <si>
    <t>LÂMPADA PARA LUMINÁRIAS</t>
  </si>
  <si>
    <t>conforme projeto elétrico</t>
  </si>
  <si>
    <t>ILUMINAÇÃO QUADRA ESPORTIVA</t>
  </si>
  <si>
    <t>PONTOS ELÉTRICOS</t>
  </si>
  <si>
    <t>PONTO ELÉTRICO TOMADAS</t>
  </si>
  <si>
    <t>PONTO ELÉTRICO CHUVEIROS</t>
  </si>
  <si>
    <t>PONTO ELÉTRICO ILUMINAÇÃO</t>
  </si>
  <si>
    <t>REFLETOR COM LÂMPADA</t>
  </si>
  <si>
    <t>5 postes com 4 refletores cada</t>
  </si>
  <si>
    <t>BRAÇO MET. PARA SUPORTE LUMINÁRIAS</t>
  </si>
  <si>
    <t>ABRAÇADEIRA DE FIXAÇÃO</t>
  </si>
  <si>
    <t>POSTE CONCRETO H:11,0M</t>
  </si>
  <si>
    <t>ELETRODUTO 32mm ENTERRADO</t>
  </si>
  <si>
    <t>(4,00+18,45+18,50+11,50+11,50)</t>
  </si>
  <si>
    <t>11.5.8</t>
  </si>
  <si>
    <t xml:space="preserve">ELETRODUTO RÍGIDO 32mm </t>
  </si>
  <si>
    <t>(poste de iluminação 5unid x 9,70m)</t>
  </si>
  <si>
    <t xml:space="preserve">CAIXAS DE PASSAGEM </t>
  </si>
  <si>
    <t>CABO 4.00mm² - (CONJUNTO LUMINÁRIA ATÉ CD01)</t>
  </si>
  <si>
    <t>(5postes x 3 cabos x 10,50m)</t>
  </si>
  <si>
    <t>elevação cinco postes(H:)9,70m</t>
  </si>
  <si>
    <t>CD01 - caixa 50x50 - caixa 40x40</t>
  </si>
  <si>
    <t>(7 cabos x 7,50m)</t>
  </si>
  <si>
    <t>eletroduto de 18,50m com 5 cabos</t>
  </si>
  <si>
    <t>eletrodutos de 4,00m e 11,50m com 4 cabos</t>
  </si>
  <si>
    <t>eletrodutos de 18,45m e 11,50m com 3 cabos</t>
  </si>
  <si>
    <t>(caixas passagem junto quadra esportiva)</t>
  </si>
  <si>
    <t>ALIMENTAÇÃO ÁGUA FRIA</t>
  </si>
  <si>
    <t>TUBO PVC ÁGUA 40mm</t>
  </si>
  <si>
    <t>TUBO PVC ÁGUA 32mm</t>
  </si>
  <si>
    <t>12.1.7</t>
  </si>
  <si>
    <t>12.1.8</t>
  </si>
  <si>
    <t>REGISTRO ESFERA</t>
  </si>
  <si>
    <t>ADAPTADOR PARA REGISTRO</t>
  </si>
  <si>
    <t>TE PVC 32 E 40MM</t>
  </si>
  <si>
    <t xml:space="preserve">JOELHO PVC 45º </t>
  </si>
  <si>
    <t>(subida talude)</t>
  </si>
  <si>
    <t>JOELHO PVC 90º 40MM</t>
  </si>
  <si>
    <t>JOELHO PVC 90º 32MM</t>
  </si>
  <si>
    <t>(derivação de água + 3 derivações para registros</t>
  </si>
  <si>
    <t>ÁGUA FRIA - REDE INTERNA SANITÁRIOS/VESTIÁRIOS</t>
  </si>
  <si>
    <t>TUBO DE PVC 25mm</t>
  </si>
  <si>
    <t>ADAPTADOR PARA REGISTRO 25mm</t>
  </si>
  <si>
    <t>CURVA 90º PVC 25mm</t>
  </si>
  <si>
    <t>TÊ PVC 25mm</t>
  </si>
  <si>
    <t>WC M:</t>
  </si>
  <si>
    <t>Vest.</t>
  </si>
  <si>
    <t>PNEs:</t>
  </si>
  <si>
    <t>WC F:</t>
  </si>
  <si>
    <t>7 registros</t>
  </si>
  <si>
    <t>JOELHO BUCHA LATÃO 25x1/2</t>
  </si>
  <si>
    <t>ACESSÓRIOS E COMPLEMENTOS</t>
  </si>
  <si>
    <t>REGISTRO DE PRESSÃO</t>
  </si>
  <si>
    <t>REGISTRO DE GAVETA</t>
  </si>
  <si>
    <t>BANCADA DE GRANITO</t>
  </si>
  <si>
    <t/>
  </si>
  <si>
    <t>MASSA PLASTICA PARA MARMORE/GRANITO</t>
  </si>
  <si>
    <t>BUCHA DE NYLON SEM ABA S10, COM PARAFUSO DE 6,10 X 65 MM EM ACO ZINCADO COM ROSCA SOBERBA, CABECA CHATA E FENDA PHILLIPS</t>
  </si>
  <si>
    <t>GRANITO PARA BANCADA, POLIDO, TIPO ANDORINHA/ QUARTZ/ CASTELO/ CORUMBA OU OUTROS EQUIVALENTES DA REGIAO, E=  *2,5* CM</t>
  </si>
  <si>
    <t>SUPORTE MAO-FRANCESA EM ACO, ABAS IGUAIS 40 CM, CAPACIDADE MINIMA 70 KG, BRANCO</t>
  </si>
  <si>
    <t>H</t>
  </si>
  <si>
    <t>SERVENTE COM ENCARGOS COMPLEMENTARES</t>
  </si>
  <si>
    <t>INSUMO 4823</t>
  </si>
  <si>
    <t>INSUMO 11795</t>
  </si>
  <si>
    <t>INSUMO 7568</t>
  </si>
  <si>
    <t>INSUMO 37591</t>
  </si>
  <si>
    <t>Duas bancadas de 2,60 x 0,55</t>
  </si>
  <si>
    <t>Composição 1:</t>
  </si>
  <si>
    <t>TUBULAÇÕES E CONEXÕES DE PVC</t>
  </si>
  <si>
    <t>TUBO PVC ESGOTO 40mm</t>
  </si>
  <si>
    <t>JOELHO 90 PVC ESGOTO 40mm</t>
  </si>
  <si>
    <t>TUBO PVC ESGOTO 50mm</t>
  </si>
  <si>
    <t>JOELHO 90 PVC ESGOTO 50mm</t>
  </si>
  <si>
    <t>TUBO PVC ESGOTO 100mm</t>
  </si>
  <si>
    <t>JOELHO 90 PVC ESGOTO 100mm</t>
  </si>
  <si>
    <t>TE PVC ESGOTO 100mm</t>
  </si>
  <si>
    <t>JUNÇÃO ESGOTO 100mm</t>
  </si>
  <si>
    <t>RALO SIFONADO</t>
  </si>
  <si>
    <t>CAIXA DE INSPEÇÃO</t>
  </si>
  <si>
    <t>SISTEMA FOSSA E FILTRO ANAERÓBIO</t>
  </si>
  <si>
    <t>FOSSA SÉPTICA</t>
  </si>
  <si>
    <t>FILTRO ANAERÓBIO</t>
  </si>
  <si>
    <t>LOUÇAS, METAIS E EQUIPAMENTOS</t>
  </si>
  <si>
    <t>LOUÇAS</t>
  </si>
  <si>
    <t>EQUIPAMENTOS</t>
  </si>
  <si>
    <t>VASO SANITÁRIO</t>
  </si>
  <si>
    <t>MICTÓRIO</t>
  </si>
  <si>
    <t>CUBA DE EMBUTIR OVAL</t>
  </si>
  <si>
    <t>LAVATÓRIO DE LOUÇA COM COLUNA</t>
  </si>
  <si>
    <t>LAVATÓRIO SUSPENÇO PNE</t>
  </si>
  <si>
    <t>VASO SANITÁRIO PNE</t>
  </si>
  <si>
    <t>PAPELEIRA</t>
  </si>
  <si>
    <t>SABONETEIRA</t>
  </si>
  <si>
    <t>TORNEIRA DE MESA</t>
  </si>
  <si>
    <t>VÁLVULA EM METAL</t>
  </si>
  <si>
    <t>SIFÃO FLEXÍVEL</t>
  </si>
  <si>
    <t>CHUVEIRO ELÉTRICO</t>
  </si>
  <si>
    <t>(2*0,5)+1,90+1,90+0,25+0,25+(7*0,5)+1,40+0,7+1,0+1,30+0,75+0,4+0,3</t>
  </si>
  <si>
    <t>13.1.11</t>
  </si>
  <si>
    <t>JOELHO 45 PVC ESGOTO 40mm</t>
  </si>
  <si>
    <t>JUNÇÃO PVC ESGOTO 40mm</t>
  </si>
  <si>
    <t>13.1.12</t>
  </si>
  <si>
    <t>JOELHO 45 PVC ESGOTO 50mm</t>
  </si>
  <si>
    <t>(0,7+0,7+2,3+8+2,71,6+3,4+4,7+2,7+0,7+1,7+1,2+0,4)</t>
  </si>
  <si>
    <t>(6,2+1,15+(2*0,4)+8,1+6,1+6,2+0,5+(5*0,4)+6,1+0,9+4,35+(3*0,4)+4,7+14)</t>
  </si>
  <si>
    <t>cubas instaladas nos tampos de granito sanitários</t>
  </si>
  <si>
    <t>cuba nos vestiários</t>
  </si>
  <si>
    <t>(1+1+2+1+2+1)</t>
  </si>
  <si>
    <t>(pias e vasos - excluídos mictórios)</t>
  </si>
  <si>
    <t>BARRA DE APOIO INOX POLIDO 90 CM</t>
  </si>
  <si>
    <t>(barras junto ao vaso sanitário)</t>
  </si>
  <si>
    <t>BARRA DE APOIO LAVATORIO DE CANTO, EM ACO INOX POLIDO, DIAMETRO MINIMO 3 CM.</t>
  </si>
  <si>
    <t>INSUMO 11894</t>
  </si>
  <si>
    <t>17.5</t>
  </si>
  <si>
    <t>17.6</t>
  </si>
  <si>
    <t>PLACA DE SINALIZACAO DE SEGURANCA CONTRA INCENDIO, FOTOLUMINESCENTE, RETANGULAR, *20 X 40* CM, EM PVC *2* MM ANTI-CHAMAS (SIMBOLOS, CORES E PICTOGRAMAS CONFORME NBR 13434)</t>
  </si>
  <si>
    <t>INSUMO 37558</t>
  </si>
  <si>
    <t>LIMPEZA FINAL DA OBRA</t>
  </si>
  <si>
    <t>LIMPEZA GERAL DA OBRA</t>
  </si>
  <si>
    <t>Subtotal item 7.0</t>
  </si>
  <si>
    <t>Subtotal item 13.0</t>
  </si>
  <si>
    <t>Subtotal item 17.0</t>
  </si>
  <si>
    <t>GUARDA CORPO METÁLICO</t>
  </si>
  <si>
    <t>escada: 4,50</t>
  </si>
  <si>
    <t>laje imperm.:1,50+0,25+0,25+20,20</t>
  </si>
  <si>
    <t>LUMINÁRIA DE EMERGÊNCIA LED</t>
  </si>
  <si>
    <t>PLACA DE SINALIZAÇÃO</t>
  </si>
  <si>
    <t>REDE PARA GOLEIRAS</t>
  </si>
  <si>
    <t>GOLEIRAS FUTEBOL SOCIETY</t>
  </si>
  <si>
    <t>um conjunto com duas redes</t>
  </si>
  <si>
    <t>Composição 2:</t>
  </si>
  <si>
    <t>GOLEIRA EM TUBO DE AÇO</t>
  </si>
  <si>
    <t>POSTES E REDE DE VOLEI</t>
  </si>
  <si>
    <t>PINTURA ESMALTE ALTO BRILHO, DUAS DEMAOS, SOBRE SUPERFICIE METALICA</t>
  </si>
  <si>
    <t>73924/1</t>
  </si>
  <si>
    <t>CONCRETO FCK = 15MPA, TRAÇO 1:3,4:3,5 (CIMENTO/ AREIA MÉDIA/ BRITA 1)  - PREPARO MECÂNICO COM BETONEIRA 400 L. AF_07/2016 - CHUMBAMENTO</t>
  </si>
  <si>
    <t>INSUMO 21012</t>
  </si>
  <si>
    <t>(1+1+1+1+5+2,2+2,2</t>
  </si>
  <si>
    <t xml:space="preserve">(10,40 x 2x3,14x0,0518 + 13,40 x 2x3,14x0,0381) = </t>
  </si>
  <si>
    <t>TUBO ACO GALVANIZADO COM COSTURA, CLASSE LEVE, DN 40 MM ( 1 1/2"),  E = 3,00 MM,  *3,48* KG/M (NBR 5580) - SUPORTE REDE</t>
  </si>
  <si>
    <t>GRAUTEAMENTO RACHADURAS/BURRACOS - REPOS QUADRA ESPORTIVA</t>
  </si>
  <si>
    <t>GRAMA SINTÉTICA ESPORTIVA</t>
  </si>
  <si>
    <t>19X38,60</t>
  </si>
  <si>
    <t>POSTE DE CONCRETO PARA FIXAÇÃO REDE DE PROTEÇÃO</t>
  </si>
  <si>
    <t>Grama Sintética</t>
  </si>
  <si>
    <t>/m²</t>
  </si>
  <si>
    <t>01 - Orçamento Playnik</t>
  </si>
  <si>
    <t>02 - Orçamento Grama Sintética POA</t>
  </si>
  <si>
    <t>03 - Orçamento Ricardo Redes - POA</t>
  </si>
  <si>
    <t>Mercado</t>
  </si>
  <si>
    <t xml:space="preserve">Valor </t>
  </si>
  <si>
    <t>SERRALHEIRO</t>
  </si>
  <si>
    <t>INSUMO 6110</t>
  </si>
  <si>
    <t>TUBO AÇO CONTRAVENTAMENTO</t>
  </si>
  <si>
    <t>2 tubos em cada canto com 6,75m cada</t>
  </si>
  <si>
    <t>Bancada de Granito Cinza</t>
  </si>
  <si>
    <t>01 - Gismar</t>
  </si>
  <si>
    <t>02 - SRRedes</t>
  </si>
  <si>
    <t>Rede de Goleiras Society Fio 6mm 5mx2,30m</t>
  </si>
  <si>
    <t>03 - Castro Redes e Sport</t>
  </si>
  <si>
    <t>ARGAMASSA CORREÇÃO CANALETA</t>
  </si>
  <si>
    <t>laterais: 38,60+38,60 x 5cm espessura por 15cm de altura</t>
  </si>
  <si>
    <t>fundo: 38,60 x 0,30 largura x 7 cm</t>
  </si>
  <si>
    <t>15.3</t>
  </si>
  <si>
    <t>15.4</t>
  </si>
  <si>
    <t>tubo instalado junto com material drenante no reaterro dos anexos</t>
  </si>
  <si>
    <t xml:space="preserve">CAIXA DE INSPEÇÃO </t>
  </si>
  <si>
    <t>saída da caixa de inspeção localizada junto aos anexos até rua</t>
  </si>
  <si>
    <t>22,60 + 2,40</t>
  </si>
  <si>
    <t>CRONOGRAMA FÍSICO - FINANCEIRO</t>
  </si>
  <si>
    <t>1º MÊS (30 dias)</t>
  </si>
  <si>
    <t>2º MÊS (60 dias)</t>
  </si>
  <si>
    <t>3º MÊS (90 dias)</t>
  </si>
  <si>
    <t>Total</t>
  </si>
  <si>
    <t>Total por Parcela</t>
  </si>
  <si>
    <t>Acumulado Parcelas</t>
  </si>
  <si>
    <t xml:space="preserve">        Márcio Radaelli</t>
  </si>
  <si>
    <t xml:space="preserve">        Eng. Civil - CREA/RS112377</t>
  </si>
  <si>
    <t>1. SERVIÇOS PRELIMINARES</t>
  </si>
  <si>
    <t>2. MOVIMENTAÇÃO DE TERRA</t>
  </si>
  <si>
    <t>Movimentação de Terra</t>
  </si>
  <si>
    <t>3. INFRA-ESTRUTURA: FUNDAÇÕES</t>
  </si>
  <si>
    <t>4. SUPRAESTRUTURA</t>
  </si>
  <si>
    <t>5. ALVENARIAS</t>
  </si>
  <si>
    <t>Alvenarias</t>
  </si>
  <si>
    <t>6. ESQUADRIAS</t>
  </si>
  <si>
    <t>7. IMPERMEABILIZAÇÃO</t>
  </si>
  <si>
    <t>8. REVESTIMENTOS</t>
  </si>
  <si>
    <t>9. PAVIMENTAÇÃO</t>
  </si>
  <si>
    <t>10. PINTURA</t>
  </si>
  <si>
    <t>11. INSTALAÇÕES ELÉTRICA</t>
  </si>
  <si>
    <t>12.INSTALAÇÕES HIDRÁULICA</t>
  </si>
  <si>
    <t>13. INSTALAÇÕES SANITÁRIAS</t>
  </si>
  <si>
    <t>14. LOUCAS, METAIS E EQUIPAMENTOS</t>
  </si>
  <si>
    <t>16. QUADRA EM GRAMA SINTÉTICA</t>
  </si>
  <si>
    <t>17. SERVIÇOS DIVERSOS</t>
  </si>
  <si>
    <t>18. SERVIÇOS FINAIS</t>
  </si>
  <si>
    <t>Endereço: Praça da Matriz - Centro - Nova Bréscia/RS</t>
  </si>
  <si>
    <t>Proprietário: Município de Nova Bréscia</t>
  </si>
  <si>
    <t>4º MÊS (120 dias)</t>
  </si>
  <si>
    <t>5º MÊS (150 dias)</t>
  </si>
  <si>
    <t>15. DRENAGEM DE ÁGUAS PLUVIAIS</t>
  </si>
  <si>
    <t>Obra: IMPLANTAÇÃO E MODERNIZAÇÃO DE INFRAESTRUTURA ESPÓRTIVA - QUADRA ESPORTIVA, VESTIÁRIOS E SANITÁRIOS</t>
  </si>
  <si>
    <t>REDE DE PROTEÇÃO TELA DE NYLON 4.0mm</t>
  </si>
  <si>
    <t>PREFEITURA MUNICIPAL DE NOVA BRÉSCIA</t>
  </si>
  <si>
    <t>ESTADO DO RIO GRANDE DO SUL</t>
  </si>
  <si>
    <t>Av. Bento Gonçalves, 1400 – Cep. 95950-000</t>
  </si>
  <si>
    <t>Fone/Fax: (51)37571160/37571122</t>
  </si>
  <si>
    <t>CNPJ 88.600.655/0001-41</t>
  </si>
  <si>
    <t>13.2.3</t>
  </si>
  <si>
    <t>SUMIDOURO</t>
  </si>
  <si>
    <t>1.5</t>
  </si>
  <si>
    <t>TAPUME CHAPA DE MADEIRA</t>
  </si>
  <si>
    <t>frente e fundos: 2x(22,60+6,00)</t>
  </si>
  <si>
    <t>duas laterais: 2x (5,40+6,00)</t>
  </si>
  <si>
    <t>3,0 metros de folga cada lado H:1,10m</t>
  </si>
  <si>
    <t>Declaro que o percentual de encargos sociais utilizados no valor da mão-de-obra do orçamento são os encargos sociais praticados pelo SINAPI.</t>
  </si>
  <si>
    <t>V.Unit. c/BDI</t>
  </si>
  <si>
    <t>((3,90+3,90+0,2+0,2)+(3,30+3,30+2,00+2,00))x1,10</t>
  </si>
  <si>
    <t>16*(2*0,3+2*0,2)*0,3+5*(2*0,4+2*0,2)*0,3</t>
  </si>
  <si>
    <t>1,0m - 30cm sapata - 40cm viga = 0,3m</t>
  </si>
  <si>
    <t>(altura de 3,10m - 40cm das vigas = 2,70m)</t>
  </si>
  <si>
    <t>13 pilares de 20x30 H:2,70</t>
  </si>
  <si>
    <t>5 pilares de 20x40 H:2,70</t>
  </si>
  <si>
    <t>13x0,2x0,3x(3,1-0,4)</t>
  </si>
  <si>
    <t>5x0,2x0,4x(3,1-0,4)</t>
  </si>
  <si>
    <t>2x0,2x0,3x(2,15-0,3)</t>
  </si>
  <si>
    <t>CONCRETO FCK30MPa PILARES</t>
  </si>
  <si>
    <t>comprimento total de vigas de 40x20</t>
  </si>
  <si>
    <t>comprimento total de vigas de 15x30</t>
  </si>
  <si>
    <t>comprimento total de vigas de 20x30</t>
  </si>
  <si>
    <t>comprimento total de vigas de 15x35</t>
  </si>
  <si>
    <t>(0,2+0,2+20,10)x0,15x0,35=</t>
  </si>
  <si>
    <t>(1,75+1,75+0,7+0,7)x0,15x0,3=</t>
  </si>
  <si>
    <t>(0,7+0,7+0,7+1,90+2,20+1,90+1,90)x0,2x0,3=</t>
  </si>
  <si>
    <t>(5,2+4,35+4,35+2,40+4,35+3,30+20,10+9,80+1,80+20,30)x0,2x0,4=</t>
  </si>
  <si>
    <t>patamar - 2,10x2,10m</t>
  </si>
  <si>
    <t>lance 01 - 3,65m x 2,10m</t>
  </si>
  <si>
    <t>lance 02 - 2,20m x 1,90m</t>
  </si>
  <si>
    <t>A: 2,10x3,65+2,10x2,10+2,20x1,90</t>
  </si>
  <si>
    <t>(2,10x0,90+1,10x1,90+20,10x2,10+(3,5+3,2)x1,90/2+(0,80+0,3)x1,95/2   X 7,00cm</t>
  </si>
  <si>
    <t>3,00m</t>
  </si>
  <si>
    <t>74209/1</t>
  </si>
  <si>
    <t>PLACA DE OBRA EM CHAPA DE ACO GALVANIZADO</t>
  </si>
  <si>
    <t>CONCRETO FCK30MPa VIGAS</t>
  </si>
  <si>
    <t>MARMORISTA / GRANITEIRO</t>
  </si>
  <si>
    <t>Tubo Concreto 200mm</t>
  </si>
  <si>
    <t>TUBO PVC 75MM DRENAGEM</t>
  </si>
  <si>
    <t>TUBO ACO GALVANIZADO COM COSTURA, CLASSE LEVE, DN 80 MM ( 3"),  E = 3,35 MM, *7,32* KG/M (NBR 5580)</t>
  </si>
  <si>
    <t>INSUMO 21015</t>
  </si>
  <si>
    <t>Instalação Rede de Proteção</t>
  </si>
  <si>
    <t>(19+19+)x8,00 metros (38,60+38,60)x6,00m</t>
  </si>
  <si>
    <t xml:space="preserve">01 - Pavimentadora DC Ltda CNPJ: </t>
  </si>
  <si>
    <t>Fone: 51 99848-2076 - Rua General Osório, 48 - Centro - Roca Sales</t>
  </si>
  <si>
    <t>(2,2+2,2+0,5+0,5+5)</t>
  </si>
  <si>
    <t>ORÇAMENTO JUNTO QUADRA ESPORTIVA EM NOVA BRÉSCIA</t>
  </si>
  <si>
    <t>PESQUISA DE MERCADO</t>
  </si>
  <si>
    <t>EMPRESA:</t>
  </si>
  <si>
    <t>CNPJ:</t>
  </si>
  <si>
    <t>ENDEREÇO:</t>
  </si>
  <si>
    <t>TELEFONE:</t>
  </si>
  <si>
    <t>CONTATO:</t>
  </si>
  <si>
    <t>ITEM:</t>
  </si>
  <si>
    <t>POSTE RETANGULAR DE FERRO GALVANIZADO MEDINDO 100x40x PARA CONTRAVENTAMENTO</t>
  </si>
  <si>
    <t xml:space="preserve">DOS POSTES DE CONCRETO JUNTOS AOS CANTOS DA QUADRA ESPORTIVA - </t>
  </si>
  <si>
    <t>Valor Mediano</t>
  </si>
  <si>
    <t>PORTÃO 120x210</t>
  </si>
  <si>
    <t>3 x 1,10 x 2,10</t>
  </si>
  <si>
    <t>03 - JR Redes de Proteção</t>
  </si>
  <si>
    <t>Contato: Douglas</t>
  </si>
  <si>
    <t>Contato: Dorvalino</t>
  </si>
  <si>
    <t>Fio 4.0mm - Malha 13x13</t>
  </si>
  <si>
    <t>Fone: 51 3085-1279 - Rua do Schneider, 1516 - Campo Novo - Porto Alegre</t>
  </si>
  <si>
    <t>Nova Bréscia, 05 de dezembro de 2017.</t>
  </si>
  <si>
    <t>Fone: 51 99997-8721 - Rua Rio Grande do Sul, nº200 - Santa Clara - Encantado/RS</t>
  </si>
  <si>
    <t>02 - Udila Maria Fontana CNPJ.: 13.254.717/0001-01</t>
  </si>
  <si>
    <t>Contato: Mateus Fontana</t>
  </si>
  <si>
    <t>Rua das Hortências, n°57 - Centro – Cep. 95965-000</t>
  </si>
  <si>
    <r>
      <t>Endereço</t>
    </r>
    <r>
      <rPr>
        <sz val="9"/>
        <rFont val="Arial"/>
        <family val="2"/>
      </rPr>
      <t>: Linha Poço da Laje, junto ao parque de eventos - Relvado/RS</t>
    </r>
  </si>
  <si>
    <r>
      <t>Município</t>
    </r>
    <r>
      <rPr>
        <sz val="9"/>
        <rFont val="Arial"/>
        <family val="2"/>
      </rPr>
      <t>: Relvado/RS</t>
    </r>
  </si>
  <si>
    <t>OBS.: TABELA SINAPI 02/2018 DESONERADO</t>
  </si>
  <si>
    <t>PREFEITURA MUNICIPAL DE RELVADO</t>
  </si>
  <si>
    <t>Ok</t>
  </si>
  <si>
    <t>ESTACA ESCAVADA MECANICAMENTE, SEM FLUIDO ESTABILIZANTE, COM 60 CM DE DIÂMETRO,  CONCRETO LANÇADO POR CAMINHÃO BETONEIRA</t>
  </si>
  <si>
    <t>Memória de Cálculo</t>
  </si>
  <si>
    <t>1 x 1m</t>
  </si>
  <si>
    <t>2 x 3m</t>
  </si>
  <si>
    <t>14 estacas x 1,50m</t>
  </si>
  <si>
    <t>14,7 x 19,85mx0,25</t>
  </si>
  <si>
    <t>EXECUÇÃO E COMPACTAÇÃO DE ATERRO COM SOLO - EXECUÇÃO A CARGO DO MUNICÍPIO</t>
  </si>
  <si>
    <t>LASTRO DE CONCRETO, PREPARO MECÂNICO, INCLUSOS ADITIVO IMPERMEABILIZANTE, LANÇAMENTO E ADENSAMENTO</t>
  </si>
  <si>
    <t>FORNECIMENTO E INSTALAÇÃO DE PILAR PRÉ-FABRICADO EM CONCRETO 23x31x600cm</t>
  </si>
  <si>
    <t>PÇ</t>
  </si>
  <si>
    <t>pç</t>
  </si>
  <si>
    <t>M</t>
  </si>
  <si>
    <t>FORNECIMENTO E INSTALAÇÃO DE VIGA PRÉ-FABRICADO EM CONCRETO DE 15x40cm - BALDRAME</t>
  </si>
  <si>
    <t>FORNECIMENTO E INSTALAÇÃO DE VIGA PRÉ-FABRICADO EM CONCRETO DE 15x30cm - COROAMENTO</t>
  </si>
  <si>
    <t>TRANSPORTE DE MATERIAL - DTM 100KM</t>
  </si>
  <si>
    <t>vg</t>
  </si>
  <si>
    <t>COBERTURA</t>
  </si>
  <si>
    <t>4.5</t>
  </si>
  <si>
    <t>5.3</t>
  </si>
  <si>
    <t>5.4</t>
  </si>
  <si>
    <t>ok</t>
  </si>
  <si>
    <t>PORTAO DE FERRO EM CHAPA GALVANIZADA PLANA 14 GSG</t>
  </si>
  <si>
    <t>JANELA DE AÇO BASCULANTE, FIXAÇÃO COM ARGAMASSA, SEM VIDROS, PADRONIZADA. AF_07/2016</t>
  </si>
  <si>
    <t>VIDRO LISO COMUM TRANSPARENTE, ESPESSURA 4MM</t>
  </si>
  <si>
    <t>8.3</t>
  </si>
  <si>
    <t>10cm de brita</t>
  </si>
  <si>
    <t>M3</t>
  </si>
  <si>
    <t>M2</t>
  </si>
  <si>
    <t>POLIMENTO MECANIZADO C/ ACABADORA TIPO HELICÓPTERO</t>
  </si>
  <si>
    <t>EXTINTOR INCENDIO TP PO QUIMICO 4KG FORNECIMENTO E COLOCACAO</t>
  </si>
  <si>
    <t>73775/1</t>
  </si>
  <si>
    <t>14.3</t>
  </si>
  <si>
    <t>14.4</t>
  </si>
  <si>
    <t>FOSSA SÉPTICA EM ALVENARIA DE TIJOLO CERÂMICO MACIÇO, DIMENSÕES EXTERNAS DE 1,90X1,10X1,40 M, VOLUME DE 1.500 LITROS, REVESTIDO INTERNAMENTE COM MASSA ÚNICA E IMPERMEABILIZANTE E COM TAMPA DE CONCRETO ARMADO COM ESPESSURA DE 8 CM</t>
  </si>
  <si>
    <t>FILTRO ANAEROBIO CILINDRICO CONCRETO PRE MOLDADO 1,20 X 1,50 (DIAMETROXALTURA) PARA 4 A 5 CONTRIBUINTES (NBR 13969)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</si>
  <si>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</si>
  <si>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</si>
  <si>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</si>
  <si>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</si>
  <si>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</si>
  <si>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</si>
  <si>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</si>
  <si>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</si>
  <si>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</si>
  <si>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12.4</t>
  </si>
  <si>
    <t>12.5</t>
  </si>
  <si>
    <t>12.6</t>
  </si>
  <si>
    <t>10.3</t>
  </si>
  <si>
    <t>10.4</t>
  </si>
  <si>
    <t>10.5</t>
  </si>
  <si>
    <t>10.6</t>
  </si>
  <si>
    <t>FUNDO ANTICORROSIVO A BASE DE OXIDO DE FERRO (ZARCAO), UMA DEMAO</t>
  </si>
  <si>
    <t>74064/2</t>
  </si>
  <si>
    <t>MASSA ÚNICA, PARA RECEBIMENTO DE PINTURA, EM ARGAMASSA TRAÇO 1:2:8, PREPARO MECÂNICO COM BETONEIRA 400L, APLICADA MANUALMENTE EM FACES INTERNAS DE PAREDES, ESPESSURA DE 10MM</t>
  </si>
  <si>
    <t>CABO DE COBRE FLEXÍVEL ISOLADO, 10 MM², ANTI-CHAMA 0,6/1,0 KV, PARA DISTRIBUIÇÃO - FORNECIMENTO E INSTALAÇÃO. AF_12/2015</t>
  </si>
  <si>
    <t>20m</t>
  </si>
  <si>
    <t>4 pontos de iluminação</t>
  </si>
  <si>
    <t>2 pontos tomadas</t>
  </si>
  <si>
    <t>DISJUNTOR TRIPOLAR TIPO DIN, CORRENTE NOMINAL DE 32A - FORNECIMENTO E INSTALAÇÃO. AF_04/2016</t>
  </si>
  <si>
    <t>ENTRADA DE ENERGIA ELÉTRICA AÉREA TRIFÁSICA 50A COM POSTE DE CONCRETO, CAIXA DE PROTEÇÃO PARA MEDIDOR E ATERRAMENTO.</t>
  </si>
  <si>
    <t>valor descontado a lampada 2x9,78</t>
  </si>
  <si>
    <t>CABO DE COBRE FLEXÍVEL ISOLADO, 6 MM², ANTI-CHAMA 450/750 V, PARA CIRCUITOS TERMINAIS - FORNECIMENTO E INSTALAÇÃO. AF_12/2015</t>
  </si>
  <si>
    <t>CABO DE COBRE FLEXÍVEL ISOLADO, 2,5 MM², ANTI-CHAMA 450/750 V, PARA CIRCUITOS TERMINAIS - FORNECIMENTO E INSTALAÇÃO. AF_12/2015</t>
  </si>
  <si>
    <t>CABO DE COBRE FLEXÍVEL ISOLADO, 1,5 MM², ANTI-CHAMA 450/750 V, PARA CIRCUITOS TERMINAIS - FORNECIMENTO E INSTALAÇÃO. AF_12/2015</t>
  </si>
  <si>
    <t>Fone/Fax: (51)3776.1122 - CNPJ 88.600.655/0001-41</t>
  </si>
  <si>
    <t>EXECUÇÃO DE DEPÓSITO EM CANTEIRO DE OBRA EM CHAPA DE MADEIRA COMPENSADA, NÃO INCLUSO MOBILIÁRIO</t>
  </si>
  <si>
    <t>74077/2</t>
  </si>
  <si>
    <t>LOCACAO CONVENCIONAL DE OBRA, ATRAVÉS DE GABARITO DE TABUAS CORRIDAS PONTALETADAS, COM REAPROVEITAMENTO DE 10 VEZES.</t>
  </si>
  <si>
    <t>TRAMA DE MADEIRA COMPOSTA POR TERÇAS PARA TELHADOS DE ATÉ 2 ÁGUAS PARA TELHA ONDULADA DE FIBROCIMENTO, METÁLICA, PLÁSTICA OU TERMOACÚSTICA, INCLUSO TRANSPORTE VERTICAL.</t>
  </si>
  <si>
    <t>TELHAMENTO COM TELHA DE AÇO/ALUMÍNIO E = 0,5 MM, COM ATÉ 2 ÁGUAS, INCLUSO IÇAMENTO - TP40</t>
  </si>
  <si>
    <t>IMPERMEABILIZACAO DE SUPERFICIE COM EMULSAO ASFALTICA A BASE D'AGUA - VIGAS DE BALDRAME - FACE LATERAL INTERNA E SUPERIOR</t>
  </si>
  <si>
    <t>ALVENARIA DE VEDAÇÃO DE BLOCOS CERÂMICOS FURADOS NA VERTICAL DE 14X19X39CM (ESPESSURA 14CM) DE PAREDES E ARGAMASSA DE ASSENTAMENTO COM PREPARO EM BETONEIRA.</t>
  </si>
  <si>
    <t>10 M SOBRE PORTÕES</t>
  </si>
  <si>
    <t>EXECUÇÃO E COMPACTAÇÃO DE BASE E OU SUB BASE COM BRITA GRADUADA SIMPLES - EXCLUSIVE CARGA E TRANSPORTE - CAMADA DE 10CM DE BRITA</t>
  </si>
  <si>
    <t>PISO EM CONCRETO 25MPA PREPARO MECANICO, ESPESSURA 8 CM, COM ARMACAO EM TELA SOLDADA #5.0MM 10x10CM</t>
  </si>
  <si>
    <t>CHAPISCO APLICADO EM ALVENARIAS E ESTRUTURAS DE CONCRETO INTERNAS, COM COLHER DE PEDREIRO.  ARGAMASSA TRAÇO 1:3 COM PREPARO EM BETONEIRA 400L</t>
  </si>
  <si>
    <t>PORTA DE MADEIRA PARA PINTURA, SEMI-OCA (LEVE OU MÉDIA), 90X210CM, ESPESSURA DE 3,5CM, INCLUSO DOBRADIÇAS - FORNECIMENTO E INSTALAÇÃO</t>
  </si>
  <si>
    <t>TUBO, PVC, SOLDÁVEL, DN 25MM, INSTALADO EM RAMAL DE DISTRIBUIÇÃO DE ÁGUA - FORNECIMENTO E INSTALAÇÃO.</t>
  </si>
  <si>
    <t>LÂMPADA COMPACTA DE LED 10 W, BASE E27 - FORNECIMENTO E INSTALAÇÃO</t>
  </si>
  <si>
    <t>LUMINÁRIA TIPO SPOT, DE SOBREPOR, SEM LÂMPADA - FORNECIMENTO E INSTALAÇÃO</t>
  </si>
  <si>
    <t>ELETRODUTO RÍGIDO ROSCÁVEL, PVC, DN 25 MM (3/4"), PARA CIRCUITOS TERMINAIS, INSTALADO EM PAREDE - FORNECIMENTO E INSTALAÇÃO</t>
  </si>
  <si>
    <t>11.4.4</t>
  </si>
  <si>
    <t>11.4.5</t>
  </si>
  <si>
    <t>CAIXA RETANGULAR 4" X 2" MÉDIA (1,20 M DO PISO), PVC, INSTALADA EM PAREDE - FORNECIMENTO E INSTALAÇÃO. AF_12/2015</t>
  </si>
  <si>
    <t>JOELHO 90 GRAUS, PVC, SOLDÁVEL, DN 25MM, INSTALADO EM RAMAL DE DISTRIBUIÇÃO DE ÁGUA - FORNECIMENTO E INSTALAÇÃO</t>
  </si>
  <si>
    <t>VASO SANITÁRIO SIFONADO COM CAIXA ACOPLADA LOUÇA BRANCA, INCLUSO ENGATE FLEXÍVEL EM PLÁSTICO BRANCO, 1/2  X 40CM - FORNECIMENTO E INSTALAÇÃO</t>
  </si>
  <si>
    <t>LAVATÓRIO LOUÇA BRANCA COM COLUNA, *44 X 35,5* CM, PADRÃO POPULAR - FORNECIMENTO E INSTALAÇÃO</t>
  </si>
  <si>
    <t>TORNEIRA CROMADA DE MESA, 1/2" OU 3/4", PARA LAVATÓRIO, PADRÃO MÉDIO - FORNECIMENTO E INSTALAÇÃO</t>
  </si>
  <si>
    <t>SIFÃO DO TIPO FLEXÍVEL EM PVC 1 X 1.1/2 - FORNECIMENTO E INSTALAÇÃO</t>
  </si>
  <si>
    <t>FORNECIMENTO E INSTALAÇÃO DE PILAR PRÉ-FABRICADO DE OITÃO EM CONCRETO 23x31x720cm</t>
  </si>
  <si>
    <t>FORNECIMENTO E INSTALAÇÃO DE TESOURA PRÉ-FABRICADO EM CONCRETO VÃO DE 20M COM ABAS</t>
  </si>
  <si>
    <t>9.1.1</t>
  </si>
  <si>
    <t>9.1.2</t>
  </si>
  <si>
    <t>10.7</t>
  </si>
  <si>
    <t>73978/1</t>
  </si>
  <si>
    <t>PINTURA HIDROFUGANTE COM SILICONE PAREDES EXTERNAS, UMA DEMAO</t>
  </si>
  <si>
    <t>7.4</t>
  </si>
  <si>
    <r>
      <t>Obra</t>
    </r>
    <r>
      <rPr>
        <sz val="9"/>
        <rFont val="Arial"/>
        <family val="2"/>
      </rPr>
      <t xml:space="preserve">: </t>
    </r>
    <r>
      <rPr>
        <b/>
        <sz val="9"/>
        <rFont val="Arial"/>
        <family val="2"/>
      </rPr>
      <t>Pavilhão Industrial pré-moldado 20X20,15 A:403,00 m²</t>
    </r>
  </si>
  <si>
    <t>4.6</t>
  </si>
  <si>
    <t>FORNECIMENTO E INSTALAÇÃO DE PILAR PRÉ-FABRICADO DE OITÃO EM CONCRETO 23x31x820cm</t>
  </si>
  <si>
    <t>PREFEITURA MUNICIPAL DE DOUTOR RICARDO</t>
  </si>
  <si>
    <r>
      <t>Obra</t>
    </r>
    <r>
      <rPr>
        <sz val="9"/>
        <rFont val="Arial"/>
        <family val="2"/>
      </rPr>
      <t>: Casa Popular com 47,24 m²</t>
    </r>
  </si>
  <si>
    <r>
      <t>Município</t>
    </r>
    <r>
      <rPr>
        <sz val="9"/>
        <rFont val="Arial"/>
        <family val="2"/>
      </rPr>
      <t>: Doutor Ricardo/RS</t>
    </r>
  </si>
  <si>
    <r>
      <t>Endereço</t>
    </r>
    <r>
      <rPr>
        <sz val="9"/>
        <rFont val="Arial"/>
        <family val="2"/>
      </rPr>
      <t>: Loteamento Popular - Doutor Ricardo</t>
    </r>
  </si>
  <si>
    <t xml:space="preserve">Fundações </t>
  </si>
  <si>
    <t>EXECUÇÃO E COMPACTAÇÃO DE ATERRO COM SOLO PREDOMINANTEMENTE ARGILOSO - EXCLUSIVE ESCAVAÇÃO, CARGA E TRANSPORTE E SOLOÇÃO A CARGO DO MUNICÍPIO</t>
  </si>
  <si>
    <t>ESCAVACAO MECANICA DE VALA EM MATERIAL DE 2A. CATEGORIA ATE 2 M DE</t>
  </si>
  <si>
    <t>LASTRO DE CONCRETO, PREPARO MECÂNICO, INCLUSOS ADITIVO IMPERM, LANÇAM E ADENSAMENTO</t>
  </si>
  <si>
    <t>3.4</t>
  </si>
  <si>
    <t>3.5</t>
  </si>
  <si>
    <t>3.6</t>
  </si>
  <si>
    <t>IMPERMEABILIZAÇÃO EM ESTRUTURAS ENTERRADOS C/ TINTA ASFÁLTICA, DUAS DEMÃOS.</t>
  </si>
  <si>
    <t>3.7</t>
  </si>
  <si>
    <t>ARMAÇÃO DE PILAR OU VIGA ESTRUT. CONVEN. CONCRETO ARMADO EM UM EDIFÍCIO DE MÚLTIPLOS PAVIMENTOS UTILIZANDO AÇO CA-50 DE 10,
0 MM - MONTAGEM.</t>
  </si>
  <si>
    <t>ARMAÇÃO DE PILAR OU VIGA DE UMA ESTRUT. CONVENC. CONCRETO ARMADO EM UM EDIFÍCIO DE MÚLTIPLOS PAVIMENTOS UTILIZANDO AÇO CA-60 DE 5,0MM - MONTAGEM.</t>
  </si>
  <si>
    <t>74076/003</t>
  </si>
  <si>
    <t>74106/001</t>
  </si>
  <si>
    <t>FABRICAÇÃO DE FÔRMA PARA VIGAS, EM CHAPA DE MADEIRA COMPENSADA RESINADA, E = 17 MM. AF_12/2015</t>
  </si>
  <si>
    <t>74157/004</t>
  </si>
  <si>
    <t>LANCAMENTO/APLICACAO MANUAL DE CONCRETO EM FUNDACOES</t>
  </si>
  <si>
    <t>mercado</t>
  </si>
  <si>
    <t>CONCRETO PARA FUNDAÇÕES</t>
  </si>
  <si>
    <t>3.8</t>
  </si>
  <si>
    <t>GRAUTEAMENTO DE CINTA SUPERIOR OU DE VERGA EM ALVENARIA ESTRUTURAL</t>
  </si>
  <si>
    <t>VERGA E CONTRAVERGA</t>
  </si>
  <si>
    <t>ML</t>
  </si>
  <si>
    <t xml:space="preserve">TELHAMENTO COM TELHA ONDULADA DE FIBROCIMENTO E = 6 MM, COM RECOBRIMENTO LATERAL DE 1/4 DE ONDA PARA TELHADO </t>
  </si>
  <si>
    <t>MADEIRA PARA CONFECÇÃO DE TELHADO E CUMIEIRAS</t>
  </si>
  <si>
    <t>ALVENARIA DE VEDAÇÃO DE BLOCOS DE CONCRETO FURADOS NA VERTICAL DE 14X19X39CM (ESPESSURA 14CM) DE PAREDES E ARGAMASSA DE ASSENTAMENTO COM PREPARO EM BETONEIRA.</t>
  </si>
  <si>
    <t>PORTA DE MADEIRA PARA PINTURA, SEMI-OCA (LEVE OU MÉDIA), 80X210CM, ESPESSURA DE 3,5CM, INCLUSO DOBRADIÇAS - FORNECIMENTO E INSTALAÇÃO</t>
  </si>
  <si>
    <t>7.5</t>
  </si>
  <si>
    <t>JANELA DE AÇO DE CORRER, 2 FOLHAS, FIXAÇÃO COM ARGAMASSA, COM VIDROS</t>
  </si>
  <si>
    <t>VIDRO FANTASIA TIPO CANELADO, ESPESSURA 4MM</t>
  </si>
  <si>
    <t>LASTRO DE CONCRETO MAGRO, APLICADO EM PISOS OU RADIERS, ESPESSURA DE 3 CM</t>
  </si>
  <si>
    <t>RODAPÉ CERÂMICO DE 7CM DE ALTURA COM PLACAS TIPO ESMALTADA</t>
  </si>
  <si>
    <t>REVESTIMENTO CERAMICO PAREDES ATÉ 1,50 M</t>
  </si>
  <si>
    <t>MERCADO</t>
  </si>
  <si>
    <t>FORRO EM RÉGUAS DE PVC, FRISADO, PARA AMBIENTES RESIDENCIAIS, INCLUSIVE ESTRUTURA DE FIXAÇÃO</t>
  </si>
  <si>
    <t>QUADRO DE DISTRIBUICAO DE ENERGIA DE EMBUTIR, EM CHAPA METALICA, PARA 3 DISJUNTORES TERMOMAGNETICOS MONOPOLARES SEM BARRAMENTO FORNECIMENTO E INSTALACAO</t>
  </si>
  <si>
    <t>74131/001</t>
  </si>
  <si>
    <t xml:space="preserve">DISJUNTOR MONOPOLAR TIPO DIN, CORRENTE NOMINAL DE 32A - FORNECIMENTO E INSTALAÇÃO. </t>
  </si>
  <si>
    <t>RESERVATORIO DE 500 LITROS COMPLETO INSTALADO</t>
  </si>
  <si>
    <t>KIT ENTRADA DE AGUA PADRÃO</t>
  </si>
  <si>
    <t>12.7</t>
  </si>
  <si>
    <t>12.8</t>
  </si>
  <si>
    <t>TANQUE DE MÁRMORE SINTÉTICO SUSPENSO, 22L OU EQUIVALENTE - FORNECIMENTO E INSTALAÇÃO</t>
  </si>
  <si>
    <t>Subtotal item 15.0</t>
  </si>
  <si>
    <t>3.9</t>
  </si>
  <si>
    <t>composição</t>
  </si>
  <si>
    <t>PORTAO DE FERRO EM CHAPA GALVANIZADA nº 20</t>
  </si>
  <si>
    <t>8.4</t>
  </si>
  <si>
    <t>LASTRO DE BRITA PARA RECEBER CONCRETO MAGRO - 5 CM</t>
  </si>
  <si>
    <t>mercadO</t>
  </si>
  <si>
    <t>ENTRADA DE ENERGIA ELÉTRICA AÉREA MONOFÁSICA C/MEDIÇÃO E ATERRAMENTO, COM POSTE.</t>
  </si>
  <si>
    <t>11.4.6</t>
  </si>
  <si>
    <t>CABO DE COBRE FLEXÍVEL ISOLADO, 10 MM², ANTI-CHAMA 450/750 V, PARA CIRCUITOS TERMINAIS - FORNECIMENTO E INSTALAÇÃO. AF_12/2015</t>
  </si>
  <si>
    <t>REVESTIMENTO CERÂMICO PARA PISO COM PLACAS TIPO ESMALTADA EXTRA DE DIMENSÕES 35X35 CM APLICADA EM AMBIENTES DE ÁREA ENTRE 5 M2 E 10 M2.CM</t>
  </si>
  <si>
    <t>RESPONSÁVEL TÉCNICO ORÇAMENTO:  ANA DELSA TRONCO CIVARDI - ENG.CIVIL - CREA 37.522/RS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</si>
</sst>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R$&quot;\ #,##0.00;[Red]\-&quot;R$&quot;\ #,##0.00"/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#,##0.000"/>
    <numFmt numFmtId="167" formatCode="&quot;R$&quot;\ #,##0.00"/>
    <numFmt numFmtId="168" formatCode="&quot;R$&quot;#,##0.00"/>
    <numFmt numFmtId="169" formatCode="&quot;R$ &quot;#,##0.00"/>
    <numFmt numFmtId="170" formatCode="_(* #,##0.0000_);_(* \(#,##0.000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vertAlign val="superscript"/>
      <sz val="9"/>
      <name val="Arial"/>
      <family val="2"/>
    </font>
    <font>
      <sz val="7"/>
      <name val="Arial"/>
      <family val="2"/>
    </font>
    <font>
      <sz val="7.5"/>
      <name val="Arial"/>
      <family val="2"/>
    </font>
    <font>
      <b/>
      <sz val="12"/>
      <name val="Arial"/>
      <family val="2"/>
    </font>
    <font>
      <sz val="9"/>
      <name val="Verdana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9"/>
      <name val="Courier New"/>
      <family val="3"/>
    </font>
    <font>
      <sz val="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7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left" vertical="center" wrapText="1"/>
    </xf>
    <xf numFmtId="4" fontId="5" fillId="0" borderId="13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6" fillId="4" borderId="1" xfId="0" applyNumberFormat="1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164" fontId="5" fillId="0" borderId="0" xfId="1" applyFont="1" applyAlignment="1">
      <alignment horizontal="center" vertical="center"/>
    </xf>
    <xf numFmtId="164" fontId="5" fillId="0" borderId="0" xfId="1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164" fontId="5" fillId="0" borderId="6" xfId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14" fontId="5" fillId="0" borderId="7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0" xfId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164" fontId="5" fillId="0" borderId="11" xfId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4" fontId="5" fillId="0" borderId="12" xfId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64" fontId="6" fillId="4" borderId="3" xfId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164" fontId="6" fillId="4" borderId="1" xfId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164" fontId="5" fillId="2" borderId="18" xfId="1" applyFont="1" applyFill="1" applyBorder="1" applyAlignment="1">
      <alignment horizontal="center" vertical="center"/>
    </xf>
    <xf numFmtId="164" fontId="5" fillId="0" borderId="13" xfId="1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164" fontId="5" fillId="2" borderId="14" xfId="1" applyFont="1" applyFill="1" applyBorder="1" applyAlignment="1">
      <alignment horizontal="center" vertical="center"/>
    </xf>
    <xf numFmtId="164" fontId="5" fillId="0" borderId="4" xfId="1" applyFont="1" applyFill="1" applyBorder="1" applyAlignment="1">
      <alignment vertical="center"/>
    </xf>
    <xf numFmtId="10" fontId="5" fillId="0" borderId="4" xfId="2" applyNumberFormat="1" applyFont="1" applyFill="1" applyBorder="1" applyAlignment="1">
      <alignment vertical="center" wrapText="1"/>
    </xf>
    <xf numFmtId="164" fontId="6" fillId="0" borderId="4" xfId="1" applyFont="1" applyFill="1" applyBorder="1" applyAlignment="1">
      <alignment vertical="center" wrapText="1"/>
    </xf>
    <xf numFmtId="165" fontId="5" fillId="0" borderId="0" xfId="1" applyNumberFormat="1" applyFont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164" fontId="5" fillId="2" borderId="18" xfId="1" applyFont="1" applyFill="1" applyBorder="1" applyAlignment="1">
      <alignment horizontal="center" vertical="center" wrapText="1"/>
    </xf>
    <xf numFmtId="164" fontId="5" fillId="0" borderId="13" xfId="1" applyFont="1" applyFill="1" applyBorder="1" applyAlignment="1">
      <alignment vertical="center" wrapText="1"/>
    </xf>
    <xf numFmtId="164" fontId="5" fillId="2" borderId="14" xfId="1" applyFont="1" applyFill="1" applyBorder="1" applyAlignment="1">
      <alignment horizontal="center" vertical="center" wrapText="1"/>
    </xf>
    <xf numFmtId="164" fontId="5" fillId="0" borderId="4" xfId="1" applyFont="1" applyFill="1" applyBorder="1" applyAlignment="1">
      <alignment vertical="center" wrapText="1"/>
    </xf>
    <xf numFmtId="0" fontId="6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164" fontId="5" fillId="0" borderId="13" xfId="1" applyFont="1" applyBorder="1" applyAlignment="1">
      <alignment vertical="center"/>
    </xf>
    <xf numFmtId="164" fontId="5" fillId="0" borderId="4" xfId="1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left" vertical="center"/>
    </xf>
    <xf numFmtId="164" fontId="6" fillId="0" borderId="4" xfId="0" applyNumberFormat="1" applyFont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64" fontId="5" fillId="0" borderId="0" xfId="1" applyFont="1" applyFill="1" applyBorder="1" applyAlignment="1">
      <alignment vertical="center"/>
    </xf>
    <xf numFmtId="164" fontId="5" fillId="2" borderId="4" xfId="1" applyFont="1" applyFill="1" applyBorder="1" applyAlignment="1">
      <alignment horizontal="center" vertical="center"/>
    </xf>
    <xf numFmtId="164" fontId="5" fillId="0" borderId="15" xfId="1" applyFont="1" applyFill="1" applyBorder="1" applyAlignment="1">
      <alignment horizontal="center" vertical="center" wrapText="1"/>
    </xf>
    <xf numFmtId="164" fontId="5" fillId="0" borderId="0" xfId="1" applyFont="1" applyFill="1" applyAlignment="1">
      <alignment horizontal="center" vertical="center"/>
    </xf>
    <xf numFmtId="164" fontId="5" fillId="0" borderId="0" xfId="1" applyFont="1" applyFill="1" applyAlignment="1">
      <alignment vertical="center"/>
    </xf>
    <xf numFmtId="0" fontId="5" fillId="2" borderId="21" xfId="0" applyFont="1" applyFill="1" applyBorder="1" applyAlignment="1">
      <alignment horizontal="center" vertical="center"/>
    </xf>
    <xf numFmtId="164" fontId="5" fillId="2" borderId="23" xfId="1" applyFont="1" applyFill="1" applyBorder="1" applyAlignment="1">
      <alignment horizontal="center" vertical="center" wrapText="1"/>
    </xf>
    <xf numFmtId="164" fontId="5" fillId="0" borderId="16" xfId="1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/>
    </xf>
    <xf numFmtId="164" fontId="5" fillId="0" borderId="15" xfId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164" fontId="5" fillId="2" borderId="23" xfId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horizontal="center" vertical="center" wrapText="1"/>
    </xf>
    <xf numFmtId="164" fontId="6" fillId="0" borderId="0" xfId="1" applyFont="1" applyFill="1" applyBorder="1" applyAlignment="1">
      <alignment vertical="center" wrapText="1"/>
    </xf>
    <xf numFmtId="4" fontId="5" fillId="2" borderId="13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164" fontId="5" fillId="0" borderId="0" xfId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164" fontId="5" fillId="0" borderId="0" xfId="1" applyFont="1" applyBorder="1" applyAlignment="1">
      <alignment vertical="center" wrapText="1"/>
    </xf>
    <xf numFmtId="43" fontId="5" fillId="0" borderId="0" xfId="0" applyNumberFormat="1" applyFont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5" fillId="0" borderId="22" xfId="1" applyFont="1" applyFill="1" applyBorder="1" applyAlignment="1">
      <alignment vertical="center" wrapText="1"/>
    </xf>
    <xf numFmtId="164" fontId="5" fillId="2" borderId="4" xfId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5" fillId="3" borderId="18" xfId="0" applyFont="1" applyFill="1" applyBorder="1" applyAlignment="1">
      <alignment horizontal="center" vertical="center"/>
    </xf>
    <xf numFmtId="164" fontId="6" fillId="3" borderId="15" xfId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0" fontId="5" fillId="0" borderId="9" xfId="1" applyNumberFormat="1" applyFont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4" borderId="17" xfId="0" applyFont="1" applyFill="1" applyBorder="1" applyAlignment="1">
      <alignment vertical="center"/>
    </xf>
    <xf numFmtId="4" fontId="5" fillId="0" borderId="26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4" fontId="5" fillId="0" borderId="15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8" fillId="0" borderId="19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4" fontId="5" fillId="0" borderId="27" xfId="0" applyNumberFormat="1" applyFont="1" applyBorder="1" applyAlignment="1">
      <alignment horizontal="center" vertical="center"/>
    </xf>
    <xf numFmtId="4" fontId="5" fillId="0" borderId="27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vertical="center"/>
    </xf>
    <xf numFmtId="4" fontId="5" fillId="0" borderId="27" xfId="0" applyNumberFormat="1" applyFont="1" applyBorder="1" applyAlignment="1">
      <alignment horizontal="left" vertical="center"/>
    </xf>
    <xf numFmtId="4" fontId="5" fillId="0" borderId="0" xfId="0" applyNumberFormat="1" applyFont="1" applyBorder="1" applyAlignment="1">
      <alignment horizontal="left" vertical="center"/>
    </xf>
    <xf numFmtId="4" fontId="6" fillId="0" borderId="15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left" vertical="center"/>
    </xf>
    <xf numFmtId="4" fontId="6" fillId="0" borderId="15" xfId="0" applyNumberFormat="1" applyFont="1" applyBorder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4" fontId="6" fillId="0" borderId="27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left" vertical="center"/>
    </xf>
    <xf numFmtId="4" fontId="6" fillId="0" borderId="0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left" vertical="center"/>
    </xf>
    <xf numFmtId="4" fontId="6" fillId="0" borderId="0" xfId="0" applyNumberFormat="1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4" fontId="6" fillId="0" borderId="27" xfId="0" applyNumberFormat="1" applyFont="1" applyBorder="1" applyAlignment="1">
      <alignment horizontal="left" vertical="center"/>
    </xf>
    <xf numFmtId="166" fontId="5" fillId="0" borderId="0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4" fontId="5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5" fillId="0" borderId="18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5" fillId="0" borderId="15" xfId="0" applyFont="1" applyBorder="1" applyAlignment="1">
      <alignment vertical="center"/>
    </xf>
    <xf numFmtId="4" fontId="2" fillId="0" borderId="19" xfId="0" applyNumberFormat="1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left" vertical="center"/>
    </xf>
    <xf numFmtId="4" fontId="11" fillId="0" borderId="15" xfId="0" applyNumberFormat="1" applyFont="1" applyBorder="1" applyAlignment="1">
      <alignment horizontal="left" vertical="center"/>
    </xf>
    <xf numFmtId="0" fontId="5" fillId="2" borderId="20" xfId="0" applyFont="1" applyFill="1" applyBorder="1" applyAlignment="1">
      <alignment horizontal="center" vertical="center"/>
    </xf>
    <xf numFmtId="164" fontId="5" fillId="2" borderId="24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10" fillId="0" borderId="19" xfId="0" applyFont="1" applyBorder="1" applyAlignment="1">
      <alignment horizontal="left" vertical="center"/>
    </xf>
    <xf numFmtId="0" fontId="6" fillId="0" borderId="19" xfId="0" applyFont="1" applyFill="1" applyBorder="1" applyAlignment="1">
      <alignment vertical="center"/>
    </xf>
    <xf numFmtId="4" fontId="5" fillId="0" borderId="19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4" fontId="5" fillId="0" borderId="15" xfId="0" applyNumberFormat="1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left" vertical="center"/>
    </xf>
    <xf numFmtId="0" fontId="5" fillId="0" borderId="19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19" xfId="0" applyNumberFormat="1" applyFont="1" applyBorder="1" applyAlignment="1">
      <alignment vertical="center"/>
    </xf>
    <xf numFmtId="4" fontId="10" fillId="0" borderId="15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4" fontId="6" fillId="0" borderId="0" xfId="0" applyNumberFormat="1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4" fontId="10" fillId="0" borderId="19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10" fontId="2" fillId="0" borderId="18" xfId="0" applyNumberFormat="1" applyFont="1" applyBorder="1" applyAlignment="1">
      <alignment horizontal="center"/>
    </xf>
    <xf numFmtId="10" fontId="2" fillId="0" borderId="13" xfId="0" applyNumberFormat="1" applyFont="1" applyBorder="1" applyAlignment="1">
      <alignment horizontal="center"/>
    </xf>
    <xf numFmtId="10" fontId="2" fillId="0" borderId="35" xfId="0" applyNumberFormat="1" applyFont="1" applyBorder="1" applyAlignment="1">
      <alignment horizontal="right"/>
    </xf>
    <xf numFmtId="0" fontId="13" fillId="0" borderId="0" xfId="0" applyFont="1"/>
    <xf numFmtId="0" fontId="5" fillId="0" borderId="11" xfId="0" applyFont="1" applyBorder="1"/>
    <xf numFmtId="0" fontId="5" fillId="0" borderId="32" xfId="0" applyFont="1" applyBorder="1" applyAlignment="1">
      <alignment horizontal="center"/>
    </xf>
    <xf numFmtId="0" fontId="5" fillId="0" borderId="0" xfId="0" applyFont="1"/>
    <xf numFmtId="0" fontId="14" fillId="0" borderId="0" xfId="0" applyFont="1"/>
    <xf numFmtId="0" fontId="1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69" fontId="2" fillId="0" borderId="24" xfId="0" applyNumberFormat="1" applyFont="1" applyBorder="1"/>
    <xf numFmtId="169" fontId="2" fillId="0" borderId="20" xfId="0" applyNumberFormat="1" applyFont="1" applyBorder="1"/>
    <xf numFmtId="10" fontId="2" fillId="0" borderId="24" xfId="0" applyNumberFormat="1" applyFont="1" applyBorder="1" applyAlignment="1">
      <alignment horizontal="center"/>
    </xf>
    <xf numFmtId="169" fontId="15" fillId="0" borderId="34" xfId="0" applyNumberFormat="1" applyFont="1" applyBorder="1"/>
    <xf numFmtId="10" fontId="15" fillId="0" borderId="33" xfId="0" applyNumberFormat="1" applyFont="1" applyBorder="1"/>
    <xf numFmtId="10" fontId="15" fillId="0" borderId="34" xfId="0" applyNumberFormat="1" applyFont="1" applyBorder="1"/>
    <xf numFmtId="169" fontId="2" fillId="0" borderId="33" xfId="0" applyNumberFormat="1" applyFont="1" applyBorder="1"/>
    <xf numFmtId="4" fontId="2" fillId="0" borderId="34" xfId="0" applyNumberFormat="1" applyFont="1" applyBorder="1"/>
    <xf numFmtId="10" fontId="2" fillId="0" borderId="25" xfId="0" applyNumberFormat="1" applyFont="1" applyBorder="1" applyAlignment="1">
      <alignment horizontal="center"/>
    </xf>
    <xf numFmtId="10" fontId="2" fillId="0" borderId="39" xfId="0" applyNumberFormat="1" applyFont="1" applyBorder="1" applyAlignment="1">
      <alignment horizontal="center"/>
    </xf>
    <xf numFmtId="10" fontId="2" fillId="0" borderId="40" xfId="0" applyNumberFormat="1" applyFont="1" applyBorder="1" applyAlignment="1">
      <alignment horizontal="center"/>
    </xf>
    <xf numFmtId="167" fontId="2" fillId="0" borderId="9" xfId="0" applyNumberFormat="1" applyFont="1" applyBorder="1"/>
    <xf numFmtId="167" fontId="2" fillId="0" borderId="9" xfId="0" applyNumberFormat="1" applyFont="1" applyBorder="1" applyAlignment="1">
      <alignment horizontal="right"/>
    </xf>
    <xf numFmtId="169" fontId="2" fillId="0" borderId="41" xfId="0" applyNumberFormat="1" applyFont="1" applyBorder="1"/>
    <xf numFmtId="0" fontId="14" fillId="0" borderId="0" xfId="0" applyFont="1" applyFill="1" applyBorder="1" applyAlignment="1"/>
    <xf numFmtId="10" fontId="14" fillId="0" borderId="0" xfId="0" applyNumberFormat="1" applyFont="1" applyFill="1" applyBorder="1" applyAlignment="1"/>
    <xf numFmtId="0" fontId="14" fillId="0" borderId="0" xfId="0" applyFont="1" applyFill="1" applyBorder="1" applyAlignment="1">
      <alignment horizontal="right"/>
    </xf>
    <xf numFmtId="0" fontId="5" fillId="0" borderId="11" xfId="0" applyFont="1" applyBorder="1" applyAlignment="1"/>
    <xf numFmtId="0" fontId="16" fillId="0" borderId="11" xfId="0" applyFont="1" applyBorder="1" applyAlignment="1">
      <alignment horizontal="left"/>
    </xf>
    <xf numFmtId="0" fontId="16" fillId="0" borderId="11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5" fillId="0" borderId="0" xfId="0" applyFont="1" applyAlignment="1"/>
    <xf numFmtId="0" fontId="5" fillId="5" borderId="13" xfId="0" applyFont="1" applyFill="1" applyBorder="1" applyAlignment="1">
      <alignment horizontal="center"/>
    </xf>
    <xf numFmtId="0" fontId="5" fillId="0" borderId="4" xfId="0" applyFont="1" applyBorder="1" applyAlignment="1">
      <alignment wrapText="1"/>
    </xf>
    <xf numFmtId="2" fontId="5" fillId="0" borderId="4" xfId="0" applyNumberFormat="1" applyFont="1" applyBorder="1" applyAlignment="1">
      <alignment horizontal="center"/>
    </xf>
    <xf numFmtId="164" fontId="5" fillId="0" borderId="4" xfId="1" applyFont="1" applyFill="1" applyBorder="1" applyAlignment="1"/>
    <xf numFmtId="164" fontId="5" fillId="0" borderId="4" xfId="1" applyFont="1" applyBorder="1" applyAlignment="1"/>
    <xf numFmtId="164" fontId="6" fillId="0" borderId="4" xfId="0" applyNumberFormat="1" applyFont="1" applyBorder="1" applyAlignment="1"/>
    <xf numFmtId="43" fontId="16" fillId="0" borderId="0" xfId="0" applyNumberFormat="1" applyFont="1" applyAlignment="1">
      <alignment horizontal="left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164" fontId="5" fillId="0" borderId="0" xfId="0" applyNumberFormat="1" applyFont="1" applyBorder="1" applyAlignment="1"/>
    <xf numFmtId="0" fontId="6" fillId="0" borderId="29" xfId="0" applyFont="1" applyFill="1" applyBorder="1" applyAlignment="1">
      <alignment horizontal="left"/>
    </xf>
    <xf numFmtId="0" fontId="5" fillId="0" borderId="30" xfId="0" applyFont="1" applyBorder="1" applyAlignment="1"/>
    <xf numFmtId="0" fontId="5" fillId="0" borderId="31" xfId="0" applyFont="1" applyBorder="1" applyAlignment="1"/>
    <xf numFmtId="0" fontId="6" fillId="0" borderId="24" xfId="0" applyFont="1" applyFill="1" applyBorder="1" applyAlignment="1">
      <alignment horizontal="left"/>
    </xf>
    <xf numFmtId="2" fontId="5" fillId="0" borderId="0" xfId="0" applyNumberFormat="1" applyFont="1" applyBorder="1" applyAlignment="1"/>
    <xf numFmtId="167" fontId="5" fillId="0" borderId="0" xfId="0" applyNumberFormat="1" applyFont="1" applyBorder="1" applyAlignment="1"/>
    <xf numFmtId="0" fontId="5" fillId="0" borderId="22" xfId="0" applyFont="1" applyBorder="1" applyAlignment="1"/>
    <xf numFmtId="0" fontId="5" fillId="0" borderId="24" xfId="0" applyFont="1" applyBorder="1" applyAlignment="1"/>
    <xf numFmtId="0" fontId="6" fillId="0" borderId="24" xfId="0" applyFont="1" applyBorder="1" applyAlignment="1"/>
    <xf numFmtId="0" fontId="5" fillId="0" borderId="18" xfId="0" applyFont="1" applyBorder="1" applyAlignment="1"/>
    <xf numFmtId="0" fontId="5" fillId="0" borderId="19" xfId="0" applyFont="1" applyBorder="1" applyAlignment="1"/>
    <xf numFmtId="168" fontId="5" fillId="0" borderId="19" xfId="0" applyNumberFormat="1" applyFont="1" applyBorder="1" applyAlignment="1"/>
    <xf numFmtId="0" fontId="5" fillId="0" borderId="25" xfId="0" applyFont="1" applyBorder="1" applyAlignment="1"/>
    <xf numFmtId="0" fontId="6" fillId="0" borderId="19" xfId="0" applyFont="1" applyBorder="1" applyAlignment="1"/>
    <xf numFmtId="168" fontId="6" fillId="0" borderId="19" xfId="0" applyNumberFormat="1" applyFont="1" applyBorder="1" applyAlignment="1"/>
    <xf numFmtId="0" fontId="6" fillId="0" borderId="25" xfId="0" applyFont="1" applyBorder="1" applyAlignment="1"/>
    <xf numFmtId="0" fontId="6" fillId="0" borderId="0" xfId="0" applyFont="1" applyAlignment="1"/>
    <xf numFmtId="4" fontId="8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164" fontId="5" fillId="5" borderId="13" xfId="1" applyFont="1" applyFill="1" applyBorder="1" applyAlignment="1">
      <alignment horizontal="center" vertical="center"/>
    </xf>
    <xf numFmtId="164" fontId="5" fillId="5" borderId="4" xfId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 wrapText="1"/>
    </xf>
    <xf numFmtId="164" fontId="5" fillId="5" borderId="4" xfId="1" applyFont="1" applyFill="1" applyBorder="1" applyAlignment="1">
      <alignment horizontal="center" vertical="center" wrapText="1"/>
    </xf>
    <xf numFmtId="164" fontId="5" fillId="5" borderId="21" xfId="1" applyFont="1" applyFill="1" applyBorder="1" applyAlignment="1">
      <alignment horizontal="center" vertical="center"/>
    </xf>
    <xf numFmtId="164" fontId="5" fillId="5" borderId="20" xfId="1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4" fontId="5" fillId="0" borderId="27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center" vertical="center"/>
    </xf>
    <xf numFmtId="4" fontId="17" fillId="0" borderId="0" xfId="0" applyNumberFormat="1" applyFont="1" applyBorder="1" applyAlignment="1">
      <alignment horizontal="left" vertical="center"/>
    </xf>
    <xf numFmtId="0" fontId="1" fillId="0" borderId="0" xfId="0" applyFont="1"/>
    <xf numFmtId="0" fontId="7" fillId="0" borderId="0" xfId="0" applyFont="1"/>
    <xf numFmtId="0" fontId="1" fillId="0" borderId="19" xfId="0" applyFont="1" applyBorder="1"/>
    <xf numFmtId="0" fontId="0" fillId="0" borderId="19" xfId="0" applyBorder="1"/>
    <xf numFmtId="0" fontId="6" fillId="0" borderId="42" xfId="0" applyFont="1" applyFill="1" applyBorder="1" applyAlignment="1">
      <alignment horizontal="left"/>
    </xf>
    <xf numFmtId="0" fontId="5" fillId="0" borderId="39" xfId="0" applyFont="1" applyBorder="1" applyAlignment="1"/>
    <xf numFmtId="0" fontId="6" fillId="0" borderId="23" xfId="0" applyFont="1" applyFill="1" applyBorder="1" applyAlignment="1">
      <alignment horizontal="left"/>
    </xf>
    <xf numFmtId="0" fontId="5" fillId="0" borderId="27" xfId="0" applyFont="1" applyBorder="1" applyAlignment="1"/>
    <xf numFmtId="0" fontId="5" fillId="0" borderId="43" xfId="0" applyFont="1" applyBorder="1" applyAlignment="1"/>
    <xf numFmtId="170" fontId="5" fillId="0" borderId="4" xfId="1" applyNumberFormat="1" applyFont="1" applyFill="1" applyBorder="1" applyAlignment="1">
      <alignment horizontal="center" vertical="center"/>
    </xf>
    <xf numFmtId="170" fontId="6" fillId="0" borderId="4" xfId="0" applyNumberFormat="1" applyFont="1" applyFill="1" applyBorder="1" applyAlignment="1">
      <alignment vertical="center" wrapText="1"/>
    </xf>
    <xf numFmtId="170" fontId="6" fillId="0" borderId="0" xfId="0" applyNumberFormat="1" applyFont="1" applyFill="1" applyBorder="1" applyAlignment="1">
      <alignment horizontal="center" vertical="center" wrapText="1"/>
    </xf>
    <xf numFmtId="170" fontId="6" fillId="4" borderId="3" xfId="0" applyNumberFormat="1" applyFont="1" applyFill="1" applyBorder="1" applyAlignment="1">
      <alignment vertical="center"/>
    </xf>
    <xf numFmtId="170" fontId="5" fillId="0" borderId="13" xfId="1" applyNumberFormat="1" applyFont="1" applyFill="1" applyBorder="1" applyAlignment="1">
      <alignment horizontal="center" vertical="center"/>
    </xf>
    <xf numFmtId="170" fontId="5" fillId="0" borderId="4" xfId="2" applyNumberFormat="1" applyFont="1" applyFill="1" applyBorder="1" applyAlignment="1">
      <alignment vertical="center" wrapText="1"/>
    </xf>
    <xf numFmtId="170" fontId="5" fillId="0" borderId="0" xfId="1" applyNumberFormat="1" applyFont="1" applyAlignment="1">
      <alignment horizontal="center" vertical="center"/>
    </xf>
    <xf numFmtId="170" fontId="5" fillId="0" borderId="0" xfId="0" applyNumberFormat="1" applyFont="1" applyAlignment="1">
      <alignment horizontal="center" vertical="center"/>
    </xf>
    <xf numFmtId="170" fontId="5" fillId="0" borderId="15" xfId="1" applyNumberFormat="1" applyFont="1" applyFill="1" applyBorder="1" applyAlignment="1">
      <alignment horizontal="center" vertical="center"/>
    </xf>
    <xf numFmtId="170" fontId="6" fillId="0" borderId="0" xfId="1" applyNumberFormat="1" applyFont="1" applyFill="1" applyBorder="1" applyAlignment="1">
      <alignment horizontal="center" vertical="center" wrapText="1"/>
    </xf>
    <xf numFmtId="170" fontId="5" fillId="0" borderId="0" xfId="0" applyNumberFormat="1" applyFont="1" applyFill="1" applyAlignment="1">
      <alignment horizontal="center" vertical="center"/>
    </xf>
    <xf numFmtId="164" fontId="6" fillId="3" borderId="16" xfId="1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center"/>
    </xf>
    <xf numFmtId="0" fontId="5" fillId="0" borderId="4" xfId="0" applyFont="1" applyBorder="1" applyAlignment="1"/>
    <xf numFmtId="0" fontId="6" fillId="0" borderId="33" xfId="0" applyFont="1" applyBorder="1" applyAlignment="1"/>
    <xf numFmtId="0" fontId="6" fillId="0" borderId="33" xfId="0" applyFont="1" applyBorder="1" applyAlignment="1">
      <alignment horizontal="center"/>
    </xf>
    <xf numFmtId="0" fontId="16" fillId="0" borderId="33" xfId="0" applyFont="1" applyBorder="1" applyAlignment="1">
      <alignment horizontal="right"/>
    </xf>
    <xf numFmtId="0" fontId="6" fillId="0" borderId="32" xfId="0" applyFont="1" applyBorder="1" applyAlignment="1"/>
    <xf numFmtId="0" fontId="16" fillId="0" borderId="34" xfId="0" applyFont="1" applyBorder="1" applyAlignment="1">
      <alignment horizontal="left"/>
    </xf>
    <xf numFmtId="0" fontId="3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0" fillId="0" borderId="24" xfId="0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8" fontId="1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" fontId="5" fillId="0" borderId="6" xfId="0" applyNumberFormat="1" applyFont="1" applyBorder="1" applyAlignment="1">
      <alignment horizontal="left" vertical="center"/>
    </xf>
    <xf numFmtId="4" fontId="5" fillId="0" borderId="11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vertical="center"/>
    </xf>
    <xf numFmtId="4" fontId="6" fillId="4" borderId="3" xfId="0" applyNumberFormat="1" applyFont="1" applyFill="1" applyBorder="1" applyAlignment="1">
      <alignment vertical="center"/>
    </xf>
    <xf numFmtId="4" fontId="5" fillId="0" borderId="13" xfId="1" applyNumberFormat="1" applyFont="1" applyFill="1" applyBorder="1" applyAlignment="1">
      <alignment horizontal="center" vertical="center"/>
    </xf>
    <xf numFmtId="4" fontId="5" fillId="0" borderId="4" xfId="2" applyNumberFormat="1" applyFont="1" applyFill="1" applyBorder="1" applyAlignment="1">
      <alignment vertical="center" wrapText="1"/>
    </xf>
    <xf numFmtId="4" fontId="5" fillId="0" borderId="0" xfId="1" applyNumberFormat="1" applyFont="1" applyAlignment="1">
      <alignment horizontal="center" vertical="center"/>
    </xf>
    <xf numFmtId="4" fontId="6" fillId="0" borderId="4" xfId="0" applyNumberFormat="1" applyFont="1" applyFill="1" applyBorder="1" applyAlignment="1">
      <alignment vertical="center" wrapText="1"/>
    </xf>
    <xf numFmtId="4" fontId="5" fillId="0" borderId="4" xfId="1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4" fontId="5" fillId="0" borderId="15" xfId="1" applyNumberFormat="1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wrapText="1"/>
    </xf>
    <xf numFmtId="0" fontId="5" fillId="0" borderId="44" xfId="0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4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4" fontId="6" fillId="0" borderId="0" xfId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5" fillId="0" borderId="36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6" borderId="14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5" fillId="0" borderId="37" xfId="0" applyFont="1" applyBorder="1" applyAlignment="1">
      <alignment horizontal="left" vertical="center"/>
    </xf>
  </cellXfs>
  <cellStyles count="3">
    <cellStyle name="Normal" xfId="0" builtinId="0"/>
    <cellStyle name="Porcentagem" xfId="2" builtinId="5"/>
    <cellStyle name="Vírgula" xfId="1" builtinId="3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657224</xdr:colOff>
      <xdr:row>0</xdr:row>
      <xdr:rowOff>49954</xdr:rowOff>
    </xdr:from>
    <xdr:to>
      <xdr:col>0</xdr:col>
      <xdr:colOff>1914523</xdr:colOff>
      <xdr:row>4</xdr:row>
      <xdr:rowOff>95250</xdr:rowOff>
    </xdr:to>
    <xdr:pic>
      <xdr:nvPicPr>
        <xdr:cNvPr id="2" name="Imagem 1" descr="BRASÃO NOVA BRÉSCIA PRINCIP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4" y="49954"/>
          <a:ext cx="1257299" cy="750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tabSelected="1" zoomScaleNormal="100" workbookViewId="0">
      <selection activeCell="J121" sqref="J121"/>
    </sheetView>
  </sheetViews>
  <sheetFormatPr defaultColWidth="9.140625" defaultRowHeight="12.75" x14ac:dyDescent="0.2"/>
  <cols>
    <col min="1" max="1" width="6.42578125" style="48" customWidth="1"/>
    <col min="2" max="2" width="11.140625" style="29" customWidth="1"/>
    <col min="3" max="3" width="62.140625" style="4" customWidth="1"/>
    <col min="4" max="4" width="7" style="48" bestFit="1" customWidth="1"/>
    <col min="5" max="5" width="9.28515625" style="57" customWidth="1"/>
    <col min="6" max="6" width="12.28515625" style="48" customWidth="1"/>
    <col min="7" max="7" width="13.140625" style="137" customWidth="1"/>
    <col min="8" max="8" width="12.28515625" style="58" customWidth="1"/>
    <col min="9" max="14" width="8" style="1" customWidth="1"/>
    <col min="15" max="16384" width="9.140625" style="1"/>
  </cols>
  <sheetData>
    <row r="1" spans="1:8" ht="17.25" customHeight="1" x14ac:dyDescent="0.2">
      <c r="A1" s="352" t="s">
        <v>900</v>
      </c>
      <c r="B1" s="353"/>
      <c r="C1" s="353"/>
      <c r="D1" s="353"/>
      <c r="E1" s="353"/>
      <c r="F1" s="353"/>
      <c r="G1" s="353"/>
      <c r="H1" s="354"/>
    </row>
    <row r="2" spans="1:8" ht="12.75" customHeight="1" x14ac:dyDescent="0.2">
      <c r="A2" s="355" t="s">
        <v>722</v>
      </c>
      <c r="B2" s="356"/>
      <c r="C2" s="356"/>
      <c r="D2" s="356"/>
      <c r="E2" s="356"/>
      <c r="F2" s="356"/>
      <c r="G2" s="356"/>
      <c r="H2" s="357"/>
    </row>
    <row r="3" spans="1:8" ht="12.75" customHeight="1" x14ac:dyDescent="0.2">
      <c r="A3" s="355"/>
      <c r="B3" s="356"/>
      <c r="C3" s="356"/>
      <c r="D3" s="356"/>
      <c r="E3" s="356"/>
      <c r="F3" s="356"/>
      <c r="G3" s="356"/>
      <c r="H3" s="357"/>
    </row>
    <row r="4" spans="1:8" ht="12.75" customHeight="1" thickBot="1" x14ac:dyDescent="0.25">
      <c r="A4" s="358"/>
      <c r="B4" s="359"/>
      <c r="C4" s="359"/>
      <c r="D4" s="359"/>
      <c r="E4" s="359"/>
      <c r="F4" s="359"/>
      <c r="G4" s="359"/>
      <c r="H4" s="360"/>
    </row>
    <row r="5" spans="1:8" ht="6" customHeight="1" thickBot="1" x14ac:dyDescent="0.25"/>
    <row r="6" spans="1:8" x14ac:dyDescent="0.2">
      <c r="A6" s="210" t="s">
        <v>901</v>
      </c>
      <c r="B6" s="30"/>
      <c r="C6" s="5"/>
      <c r="D6" s="59"/>
      <c r="E6" s="60"/>
      <c r="F6" s="61" t="s">
        <v>138</v>
      </c>
      <c r="G6" s="334"/>
      <c r="H6" s="62"/>
    </row>
    <row r="7" spans="1:8" x14ac:dyDescent="0.2">
      <c r="A7" s="211" t="s">
        <v>902</v>
      </c>
      <c r="B7" s="31"/>
      <c r="C7" s="6"/>
      <c r="D7" s="63"/>
      <c r="E7" s="64"/>
      <c r="F7" s="65" t="s">
        <v>109</v>
      </c>
      <c r="G7" s="163"/>
      <c r="H7" s="132">
        <v>0.28939999999999999</v>
      </c>
    </row>
    <row r="8" spans="1:8" ht="13.5" thickBot="1" x14ac:dyDescent="0.25">
      <c r="A8" s="212" t="s">
        <v>903</v>
      </c>
      <c r="B8" s="32"/>
      <c r="C8" s="7"/>
      <c r="D8" s="66"/>
      <c r="E8" s="67"/>
      <c r="F8" s="68"/>
      <c r="G8" s="335"/>
      <c r="H8" s="69"/>
    </row>
    <row r="9" spans="1:8" ht="6" customHeight="1" thickBot="1" x14ac:dyDescent="0.25"/>
    <row r="10" spans="1:8" ht="13.5" thickBot="1" x14ac:dyDescent="0.25">
      <c r="A10" s="213" t="s">
        <v>3</v>
      </c>
      <c r="B10" s="33"/>
      <c r="C10" s="8"/>
      <c r="D10" s="33"/>
      <c r="E10" s="33"/>
      <c r="F10" s="33"/>
      <c r="G10" s="336"/>
      <c r="H10" s="70"/>
    </row>
    <row r="11" spans="1:8" ht="8.25" customHeight="1" thickBot="1" x14ac:dyDescent="0.25">
      <c r="A11" s="63"/>
      <c r="B11" s="34"/>
      <c r="C11" s="9"/>
      <c r="D11" s="63"/>
      <c r="E11" s="64"/>
      <c r="F11" s="361"/>
      <c r="G11" s="361"/>
      <c r="H11" s="361"/>
    </row>
    <row r="12" spans="1:8" ht="13.5" thickBot="1" x14ac:dyDescent="0.25">
      <c r="A12" s="35" t="s">
        <v>78</v>
      </c>
      <c r="B12" s="35" t="s">
        <v>104</v>
      </c>
      <c r="C12" s="10" t="s">
        <v>79</v>
      </c>
      <c r="D12" s="35" t="s">
        <v>80</v>
      </c>
      <c r="E12" s="71" t="s">
        <v>81</v>
      </c>
      <c r="F12" s="72" t="s">
        <v>136</v>
      </c>
      <c r="G12" s="72" t="s">
        <v>734</v>
      </c>
      <c r="H12" s="73" t="s">
        <v>137</v>
      </c>
    </row>
    <row r="13" spans="1:8" ht="9" customHeight="1" thickBot="1" x14ac:dyDescent="0.25"/>
    <row r="14" spans="1:8" ht="13.5" thickBot="1" x14ac:dyDescent="0.25">
      <c r="A14" s="42" t="s">
        <v>4</v>
      </c>
      <c r="B14" s="36"/>
      <c r="C14" s="11" t="s">
        <v>82</v>
      </c>
      <c r="D14" s="74"/>
      <c r="E14" s="74"/>
      <c r="F14" s="74"/>
      <c r="G14" s="337"/>
      <c r="H14" s="75"/>
    </row>
    <row r="15" spans="1:8" s="2" customFormat="1" ht="27" customHeight="1" x14ac:dyDescent="0.2">
      <c r="A15" s="37" t="s">
        <v>8</v>
      </c>
      <c r="B15" s="38" t="s">
        <v>866</v>
      </c>
      <c r="C15" s="13" t="s">
        <v>867</v>
      </c>
      <c r="D15" s="79" t="s">
        <v>5</v>
      </c>
      <c r="E15" s="80">
        <v>47.24</v>
      </c>
      <c r="F15" s="285">
        <v>3.62</v>
      </c>
      <c r="G15" s="338">
        <f>F15*(1+$H$7)</f>
        <v>4.6676280000000006</v>
      </c>
      <c r="H15" s="78">
        <f>E15*G15</f>
        <v>220.49874672000004</v>
      </c>
    </row>
    <row r="16" spans="1:8" ht="12.75" customHeight="1" x14ac:dyDescent="0.2">
      <c r="A16" s="350" t="s">
        <v>10</v>
      </c>
      <c r="B16" s="351"/>
      <c r="C16" s="351"/>
      <c r="D16" s="351"/>
      <c r="E16" s="351"/>
      <c r="F16" s="82"/>
      <c r="G16" s="339"/>
      <c r="H16" s="83">
        <f>SUM(H15:H15)</f>
        <v>220.49874672000004</v>
      </c>
    </row>
    <row r="17" spans="1:11" ht="9" customHeight="1" thickBot="1" x14ac:dyDescent="0.25">
      <c r="F17" s="84"/>
      <c r="G17" s="340"/>
    </row>
    <row r="18" spans="1:11" ht="13.5" thickBot="1" x14ac:dyDescent="0.25">
      <c r="A18" s="42" t="s">
        <v>12</v>
      </c>
      <c r="B18" s="36"/>
      <c r="C18" s="11" t="s">
        <v>697</v>
      </c>
      <c r="D18" s="74"/>
      <c r="E18" s="74"/>
      <c r="F18" s="74"/>
      <c r="G18" s="337"/>
      <c r="H18" s="75"/>
    </row>
    <row r="19" spans="1:11" ht="36" x14ac:dyDescent="0.2">
      <c r="A19" s="49" t="s">
        <v>13</v>
      </c>
      <c r="B19" s="40">
        <v>96385</v>
      </c>
      <c r="C19" s="13" t="s">
        <v>905</v>
      </c>
      <c r="D19" s="94" t="s">
        <v>11</v>
      </c>
      <c r="E19" s="88">
        <v>18.89</v>
      </c>
      <c r="F19" s="285">
        <v>5.19</v>
      </c>
      <c r="G19" s="338">
        <f>F19*(1+$H$7)</f>
        <v>6.6919860000000009</v>
      </c>
      <c r="H19" s="87">
        <f>E19*G19</f>
        <v>126.41161554000001</v>
      </c>
      <c r="J19" s="28"/>
      <c r="K19" s="331"/>
    </row>
    <row r="20" spans="1:11" ht="12.75" customHeight="1" x14ac:dyDescent="0.2">
      <c r="A20" s="350" t="s">
        <v>19</v>
      </c>
      <c r="B20" s="351"/>
      <c r="C20" s="351"/>
      <c r="D20" s="351"/>
      <c r="E20" s="351"/>
      <c r="F20" s="26"/>
      <c r="G20" s="341"/>
      <c r="H20" s="83">
        <f>SUM(H19:H19)</f>
        <v>126.41161554000001</v>
      </c>
    </row>
    <row r="21" spans="1:11" ht="9" customHeight="1" thickBot="1" x14ac:dyDescent="0.25"/>
    <row r="22" spans="1:11" ht="13.5" thickBot="1" x14ac:dyDescent="0.25">
      <c r="A22" s="42" t="s">
        <v>17</v>
      </c>
      <c r="B22" s="36"/>
      <c r="C22" s="11" t="s">
        <v>904</v>
      </c>
      <c r="D22" s="74"/>
      <c r="E22" s="74"/>
      <c r="F22" s="74"/>
      <c r="G22" s="337"/>
      <c r="H22" s="75"/>
    </row>
    <row r="23" spans="1:11" ht="25.5" customHeight="1" x14ac:dyDescent="0.2">
      <c r="A23" s="38" t="s">
        <v>21</v>
      </c>
      <c r="B23" s="39">
        <v>72915</v>
      </c>
      <c r="C23" s="12" t="s">
        <v>906</v>
      </c>
      <c r="D23" s="85" t="s">
        <v>11</v>
      </c>
      <c r="E23" s="86">
        <v>17.399999999999999</v>
      </c>
      <c r="F23" s="284">
        <v>9.61</v>
      </c>
      <c r="G23" s="338">
        <f t="shared" ref="G23:G31" si="0">F23*(1+$H$7)</f>
        <v>12.391134000000001</v>
      </c>
      <c r="H23" s="92">
        <f>E23*G23</f>
        <v>215.60573160000001</v>
      </c>
      <c r="J23" s="28"/>
      <c r="K23" s="28"/>
    </row>
    <row r="24" spans="1:11" ht="24" x14ac:dyDescent="0.2">
      <c r="A24" s="38" t="s">
        <v>23</v>
      </c>
      <c r="B24" s="40">
        <v>83534</v>
      </c>
      <c r="C24" s="13" t="s">
        <v>907</v>
      </c>
      <c r="D24" s="85" t="s">
        <v>11</v>
      </c>
      <c r="E24" s="88">
        <v>1.74</v>
      </c>
      <c r="F24" s="285">
        <v>457.72</v>
      </c>
      <c r="G24" s="338">
        <f t="shared" ref="G24:G30" si="1">F24*(1+$H$7)</f>
        <v>590.18416800000011</v>
      </c>
      <c r="H24" s="92">
        <f t="shared" ref="H24:H30" si="2">E24*G24</f>
        <v>1026.9204523200001</v>
      </c>
    </row>
    <row r="25" spans="1:11" s="29" customFormat="1" ht="24" x14ac:dyDescent="0.2">
      <c r="A25" s="38" t="s">
        <v>327</v>
      </c>
      <c r="B25" s="40" t="s">
        <v>915</v>
      </c>
      <c r="C25" s="347" t="s">
        <v>917</v>
      </c>
      <c r="D25" s="85" t="s">
        <v>18</v>
      </c>
      <c r="E25" s="88">
        <v>5.7</v>
      </c>
      <c r="F25" s="285">
        <v>62.02</v>
      </c>
      <c r="G25" s="338">
        <f t="shared" ref="G25:G26" si="3">F25*(1+$H$7)</f>
        <v>79.968588000000011</v>
      </c>
      <c r="H25" s="92">
        <f t="shared" ref="H25:H26" si="4">E25*G25</f>
        <v>455.82095160000006</v>
      </c>
    </row>
    <row r="26" spans="1:11" s="29" customFormat="1" ht="12" x14ac:dyDescent="0.2">
      <c r="A26" s="38" t="s">
        <v>908</v>
      </c>
      <c r="B26" s="40" t="s">
        <v>918</v>
      </c>
      <c r="C26" s="347" t="s">
        <v>919</v>
      </c>
      <c r="D26" s="85" t="s">
        <v>11</v>
      </c>
      <c r="E26" s="88">
        <v>1.17</v>
      </c>
      <c r="F26" s="285">
        <v>89.18</v>
      </c>
      <c r="G26" s="338">
        <f t="shared" si="3"/>
        <v>114.98869200000001</v>
      </c>
      <c r="H26" s="92">
        <f t="shared" si="4"/>
        <v>134.53676964000002</v>
      </c>
    </row>
    <row r="27" spans="1:11" s="29" customFormat="1" ht="12" x14ac:dyDescent="0.2">
      <c r="A27" s="38" t="s">
        <v>909</v>
      </c>
      <c r="B27" s="40" t="s">
        <v>920</v>
      </c>
      <c r="C27" s="347" t="s">
        <v>921</v>
      </c>
      <c r="D27" s="85" t="s">
        <v>11</v>
      </c>
      <c r="E27" s="88">
        <v>1.17</v>
      </c>
      <c r="F27" s="285">
        <v>510</v>
      </c>
      <c r="G27" s="338">
        <f t="shared" ref="G27" si="5">F27*(1+$H$7)</f>
        <v>657.59400000000005</v>
      </c>
      <c r="H27" s="92">
        <f t="shared" ref="H27" si="6">E27*G27</f>
        <v>769.38498000000004</v>
      </c>
    </row>
    <row r="28" spans="1:11" s="29" customFormat="1" ht="24" x14ac:dyDescent="0.2">
      <c r="A28" s="38" t="s">
        <v>910</v>
      </c>
      <c r="B28" s="40" t="s">
        <v>916</v>
      </c>
      <c r="C28" s="347" t="s">
        <v>911</v>
      </c>
      <c r="D28" s="85" t="s">
        <v>18</v>
      </c>
      <c r="E28" s="88">
        <v>5.7</v>
      </c>
      <c r="F28" s="285">
        <v>8.14</v>
      </c>
      <c r="G28" s="338">
        <f t="shared" si="1"/>
        <v>10.495716000000002</v>
      </c>
      <c r="H28" s="92">
        <f t="shared" si="2"/>
        <v>59.825581200000009</v>
      </c>
    </row>
    <row r="29" spans="1:11" s="29" customFormat="1" ht="48" x14ac:dyDescent="0.2">
      <c r="A29" s="38" t="s">
        <v>912</v>
      </c>
      <c r="B29" s="40">
        <v>92762</v>
      </c>
      <c r="C29" s="348" t="s">
        <v>913</v>
      </c>
      <c r="D29" s="85" t="s">
        <v>134</v>
      </c>
      <c r="E29" s="88">
        <v>46.7</v>
      </c>
      <c r="F29" s="285">
        <v>5.86</v>
      </c>
      <c r="G29" s="338">
        <f t="shared" si="1"/>
        <v>7.5558840000000007</v>
      </c>
      <c r="H29" s="92">
        <f t="shared" si="2"/>
        <v>352.85978280000006</v>
      </c>
    </row>
    <row r="30" spans="1:11" s="29" customFormat="1" ht="36" x14ac:dyDescent="0.2">
      <c r="A30" s="38" t="s">
        <v>922</v>
      </c>
      <c r="B30" s="40">
        <v>92759</v>
      </c>
      <c r="C30" s="348" t="s">
        <v>914</v>
      </c>
      <c r="D30" s="85" t="s">
        <v>134</v>
      </c>
      <c r="E30" s="88">
        <v>57.3</v>
      </c>
      <c r="F30" s="285">
        <v>8.31</v>
      </c>
      <c r="G30" s="338">
        <f t="shared" si="1"/>
        <v>10.714914000000002</v>
      </c>
      <c r="H30" s="92">
        <f t="shared" si="2"/>
        <v>613.96457220000013</v>
      </c>
    </row>
    <row r="31" spans="1:11" s="29" customFormat="1" ht="36" x14ac:dyDescent="0.2">
      <c r="A31" s="38" t="s">
        <v>947</v>
      </c>
      <c r="B31" s="40" t="s">
        <v>948</v>
      </c>
      <c r="C31" s="348" t="s">
        <v>928</v>
      </c>
      <c r="D31" s="85" t="s">
        <v>18</v>
      </c>
      <c r="E31" s="88">
        <v>27.4</v>
      </c>
      <c r="F31" s="285">
        <v>52.29</v>
      </c>
      <c r="G31" s="338">
        <f t="shared" si="0"/>
        <v>67.422725999999997</v>
      </c>
      <c r="H31" s="92">
        <f t="shared" ref="H31" si="7">E31*G31</f>
        <v>1847.3826923999998</v>
      </c>
    </row>
    <row r="32" spans="1:11" ht="12.75" customHeight="1" x14ac:dyDescent="0.2">
      <c r="A32" s="350" t="s">
        <v>20</v>
      </c>
      <c r="B32" s="351"/>
      <c r="C32" s="351"/>
      <c r="D32" s="351"/>
      <c r="E32" s="351"/>
      <c r="F32" s="26"/>
      <c r="G32" s="341"/>
      <c r="H32" s="96">
        <f>SUM(H23:H31)</f>
        <v>5476.3015137600005</v>
      </c>
    </row>
    <row r="33" spans="1:9" ht="9" customHeight="1" thickBot="1" x14ac:dyDescent="0.25"/>
    <row r="34" spans="1:9" ht="13.5" thickBot="1" x14ac:dyDescent="0.25">
      <c r="A34" s="42" t="s">
        <v>27</v>
      </c>
      <c r="B34" s="42"/>
      <c r="C34" s="11" t="s">
        <v>84</v>
      </c>
      <c r="D34" s="74"/>
      <c r="E34" s="74"/>
      <c r="F34" s="74"/>
      <c r="G34" s="337"/>
      <c r="H34" s="75"/>
    </row>
    <row r="35" spans="1:9" ht="24" x14ac:dyDescent="0.2">
      <c r="A35" s="38" t="s">
        <v>28</v>
      </c>
      <c r="B35" s="40" t="s">
        <v>915</v>
      </c>
      <c r="C35" s="347" t="s">
        <v>917</v>
      </c>
      <c r="D35" s="85" t="s">
        <v>18</v>
      </c>
      <c r="E35" s="80">
        <v>7.2</v>
      </c>
      <c r="F35" s="285">
        <v>62.02</v>
      </c>
      <c r="G35" s="342">
        <f t="shared" ref="G35:G39" si="8">F35*(1+$H$7)</f>
        <v>79.968588000000011</v>
      </c>
      <c r="H35" s="93">
        <f>E35*G35</f>
        <v>575.7738336000001</v>
      </c>
    </row>
    <row r="36" spans="1:9" ht="18" customHeight="1" x14ac:dyDescent="0.2">
      <c r="A36" s="38" t="s">
        <v>29</v>
      </c>
      <c r="B36" s="38">
        <v>89995</v>
      </c>
      <c r="C36" s="14" t="s">
        <v>923</v>
      </c>
      <c r="D36" s="79" t="s">
        <v>11</v>
      </c>
      <c r="E36" s="80">
        <v>2.15</v>
      </c>
      <c r="F36" s="285">
        <v>552.36</v>
      </c>
      <c r="G36" s="338">
        <f t="shared" si="8"/>
        <v>712.21298400000012</v>
      </c>
      <c r="H36" s="93">
        <f>E36*G36</f>
        <v>1531.2579156000002</v>
      </c>
    </row>
    <row r="37" spans="1:9" ht="48" x14ac:dyDescent="0.2">
      <c r="A37" s="38" t="s">
        <v>30</v>
      </c>
      <c r="B37" s="40">
        <v>92762</v>
      </c>
      <c r="C37" s="348" t="s">
        <v>913</v>
      </c>
      <c r="D37" s="85" t="s">
        <v>134</v>
      </c>
      <c r="E37" s="80">
        <v>65</v>
      </c>
      <c r="F37" s="285">
        <v>5.86</v>
      </c>
      <c r="G37" s="338">
        <f t="shared" si="8"/>
        <v>7.5558840000000007</v>
      </c>
      <c r="H37" s="93">
        <f>E37*G37</f>
        <v>491.13246000000004</v>
      </c>
    </row>
    <row r="38" spans="1:9" ht="36" x14ac:dyDescent="0.2">
      <c r="A38" s="38" t="s">
        <v>152</v>
      </c>
      <c r="B38" s="40">
        <v>92759</v>
      </c>
      <c r="C38" s="348" t="s">
        <v>914</v>
      </c>
      <c r="D38" s="85" t="s">
        <v>134</v>
      </c>
      <c r="E38" s="80">
        <v>82</v>
      </c>
      <c r="F38" s="285">
        <v>8.31</v>
      </c>
      <c r="G38" s="338">
        <f t="shared" si="8"/>
        <v>10.714914000000002</v>
      </c>
      <c r="H38" s="93">
        <f>E38*G38</f>
        <v>878.62294800000018</v>
      </c>
      <c r="I38" s="28"/>
    </row>
    <row r="39" spans="1:9" x14ac:dyDescent="0.2">
      <c r="A39" s="38" t="s">
        <v>817</v>
      </c>
      <c r="B39" s="38">
        <v>93186</v>
      </c>
      <c r="C39" s="15" t="s">
        <v>924</v>
      </c>
      <c r="D39" s="104" t="s">
        <v>925</v>
      </c>
      <c r="E39" s="112">
        <v>21.8</v>
      </c>
      <c r="F39" s="288">
        <v>38.42</v>
      </c>
      <c r="G39" s="338">
        <f t="shared" si="8"/>
        <v>49.538748000000005</v>
      </c>
      <c r="H39" s="93">
        <f>E39*G39</f>
        <v>1079.9447064000001</v>
      </c>
    </row>
    <row r="40" spans="1:9" ht="12.75" customHeight="1" x14ac:dyDescent="0.2">
      <c r="A40" s="350" t="s">
        <v>32</v>
      </c>
      <c r="B40" s="351"/>
      <c r="C40" s="351"/>
      <c r="D40" s="351"/>
      <c r="E40" s="351"/>
      <c r="F40" s="26"/>
      <c r="G40" s="341"/>
      <c r="H40" s="83">
        <f>SUM(H35:H39)</f>
        <v>4556.7318636</v>
      </c>
    </row>
    <row r="41" spans="1:9" ht="9" customHeight="1" thickBot="1" x14ac:dyDescent="0.25"/>
    <row r="42" spans="1:9" ht="13.5" thickBot="1" x14ac:dyDescent="0.25">
      <c r="A42" s="42" t="s">
        <v>33</v>
      </c>
      <c r="B42" s="42"/>
      <c r="C42" s="11" t="s">
        <v>816</v>
      </c>
      <c r="D42" s="74"/>
      <c r="E42" s="74"/>
      <c r="F42" s="74"/>
      <c r="G42" s="337"/>
      <c r="H42" s="75"/>
    </row>
    <row r="43" spans="1:9" ht="43.5" customHeight="1" x14ac:dyDescent="0.2">
      <c r="A43" s="40" t="s">
        <v>34</v>
      </c>
      <c r="B43" s="40">
        <v>94207</v>
      </c>
      <c r="C43" s="13" t="s">
        <v>926</v>
      </c>
      <c r="D43" s="79" t="s">
        <v>18</v>
      </c>
      <c r="E43" s="100">
        <v>47.24</v>
      </c>
      <c r="F43" s="285">
        <v>32.46</v>
      </c>
      <c r="G43" s="342">
        <f>F43*(1+$H$7)</f>
        <v>41.853924000000006</v>
      </c>
      <c r="H43" s="81">
        <f>E43*G43</f>
        <v>1977.1793697600003</v>
      </c>
    </row>
    <row r="44" spans="1:9" x14ac:dyDescent="0.2">
      <c r="A44" s="40" t="s">
        <v>382</v>
      </c>
      <c r="B44" s="40" t="s">
        <v>666</v>
      </c>
      <c r="C44" s="13" t="s">
        <v>927</v>
      </c>
      <c r="D44" s="79" t="s">
        <v>18</v>
      </c>
      <c r="E44" s="100">
        <v>47.24</v>
      </c>
      <c r="F44" s="285">
        <v>28.5</v>
      </c>
      <c r="G44" s="338">
        <v>38.5</v>
      </c>
      <c r="H44" s="81">
        <f>E44*G44</f>
        <v>1818.74</v>
      </c>
    </row>
    <row r="45" spans="1:9" ht="12.75" customHeight="1" x14ac:dyDescent="0.2">
      <c r="A45" s="350" t="s">
        <v>35</v>
      </c>
      <c r="B45" s="351"/>
      <c r="C45" s="351"/>
      <c r="D45" s="351"/>
      <c r="E45" s="351"/>
      <c r="F45" s="26"/>
      <c r="G45" s="341"/>
      <c r="H45" s="83">
        <f>SUM(H43:H44)</f>
        <v>3795.9193697600003</v>
      </c>
    </row>
    <row r="46" spans="1:9" ht="9" customHeight="1" thickBot="1" x14ac:dyDescent="0.25">
      <c r="A46" s="54"/>
      <c r="B46" s="43"/>
      <c r="C46" s="18"/>
      <c r="D46" s="54"/>
      <c r="E46" s="102"/>
      <c r="F46" s="54"/>
      <c r="G46" s="343"/>
      <c r="H46" s="103"/>
    </row>
    <row r="47" spans="1:9" ht="13.5" thickBot="1" x14ac:dyDescent="0.25">
      <c r="A47" s="42" t="s">
        <v>36</v>
      </c>
      <c r="B47" s="42"/>
      <c r="C47" s="11" t="s">
        <v>701</v>
      </c>
      <c r="D47" s="74"/>
      <c r="E47" s="74"/>
      <c r="F47" s="74"/>
      <c r="G47" s="337"/>
      <c r="H47" s="75"/>
    </row>
    <row r="48" spans="1:9" ht="24" x14ac:dyDescent="0.2">
      <c r="A48" s="44" t="s">
        <v>37</v>
      </c>
      <c r="B48" s="44">
        <v>83742</v>
      </c>
      <c r="C48" s="13" t="s">
        <v>870</v>
      </c>
      <c r="D48" s="85" t="s">
        <v>18</v>
      </c>
      <c r="E48" s="86">
        <v>23.6</v>
      </c>
      <c r="F48" s="285">
        <v>20.350000000000001</v>
      </c>
      <c r="G48" s="338">
        <f>F48*(1+$H$7)</f>
        <v>26.239290000000004</v>
      </c>
      <c r="H48" s="89">
        <f>E48*G48</f>
        <v>619.24724400000014</v>
      </c>
    </row>
    <row r="49" spans="1:9" ht="40.5" customHeight="1" x14ac:dyDescent="0.2">
      <c r="A49" s="40" t="s">
        <v>40</v>
      </c>
      <c r="B49" s="40" t="s">
        <v>948</v>
      </c>
      <c r="C49" s="13" t="s">
        <v>928</v>
      </c>
      <c r="D49" s="79" t="s">
        <v>18</v>
      </c>
      <c r="E49" s="100">
        <v>110</v>
      </c>
      <c r="F49" s="285">
        <v>52.29</v>
      </c>
      <c r="G49" s="338">
        <f>F49*(1+$H$7)</f>
        <v>67.422725999999997</v>
      </c>
      <c r="H49" s="81">
        <f>E49*G49</f>
        <v>7416.4998599999999</v>
      </c>
    </row>
    <row r="50" spans="1:9" ht="12.75" customHeight="1" x14ac:dyDescent="0.2">
      <c r="A50" s="350" t="s">
        <v>42</v>
      </c>
      <c r="B50" s="351"/>
      <c r="C50" s="351"/>
      <c r="D50" s="351"/>
      <c r="E50" s="351"/>
      <c r="F50" s="26"/>
      <c r="G50" s="341"/>
      <c r="H50" s="83">
        <f>SUM(H48:H49)</f>
        <v>8035.747104</v>
      </c>
    </row>
    <row r="51" spans="1:9" ht="9" customHeight="1" thickBot="1" x14ac:dyDescent="0.25"/>
    <row r="52" spans="1:9" ht="13.5" thickBot="1" x14ac:dyDescent="0.25">
      <c r="A52" s="42" t="s">
        <v>43</v>
      </c>
      <c r="B52" s="42"/>
      <c r="C52" s="11" t="s">
        <v>85</v>
      </c>
      <c r="D52" s="74"/>
      <c r="E52" s="74"/>
      <c r="F52" s="74"/>
      <c r="G52" s="337"/>
      <c r="H52" s="75"/>
    </row>
    <row r="53" spans="1:9" x14ac:dyDescent="0.2">
      <c r="A53" s="37" t="s">
        <v>44</v>
      </c>
      <c r="B53" s="186">
        <v>68054</v>
      </c>
      <c r="C53" s="185" t="s">
        <v>949</v>
      </c>
      <c r="D53" s="79" t="s">
        <v>18</v>
      </c>
      <c r="E53" s="88">
        <v>3.36</v>
      </c>
      <c r="F53" s="285">
        <v>186.87</v>
      </c>
      <c r="G53" s="338">
        <f>F53*(1+$H$7)</f>
        <v>240.95017800000002</v>
      </c>
      <c r="H53" s="89">
        <f>E53*G53</f>
        <v>809.59259808000002</v>
      </c>
    </row>
    <row r="54" spans="1:9" s="28" customFormat="1" ht="24" x14ac:dyDescent="0.2">
      <c r="A54" s="40" t="s">
        <v>45</v>
      </c>
      <c r="B54" s="40">
        <v>94568</v>
      </c>
      <c r="C54" s="13" t="s">
        <v>931</v>
      </c>
      <c r="D54" s="79" t="s">
        <v>18</v>
      </c>
      <c r="E54" s="88">
        <v>4.5599999999999996</v>
      </c>
      <c r="F54" s="285">
        <v>396.58</v>
      </c>
      <c r="G54" s="338">
        <f>F54*(1+$H$7)</f>
        <v>511.35025200000001</v>
      </c>
      <c r="H54" s="89">
        <f>E54*G54</f>
        <v>2331.7571491199997</v>
      </c>
    </row>
    <row r="55" spans="1:9" ht="24" x14ac:dyDescent="0.2">
      <c r="A55" s="40" t="s">
        <v>46</v>
      </c>
      <c r="B55" s="40">
        <v>94559</v>
      </c>
      <c r="C55" s="13" t="s">
        <v>822</v>
      </c>
      <c r="D55" s="79" t="s">
        <v>18</v>
      </c>
      <c r="E55" s="88">
        <v>1.5</v>
      </c>
      <c r="F55" s="285">
        <v>446.29</v>
      </c>
      <c r="G55" s="338">
        <f>F55*(1+$H$7)</f>
        <v>575.44632600000011</v>
      </c>
      <c r="H55" s="89">
        <f>E55*G55</f>
        <v>863.16948900000011</v>
      </c>
    </row>
    <row r="56" spans="1:9" s="28" customFormat="1" x14ac:dyDescent="0.2">
      <c r="A56" s="40" t="s">
        <v>896</v>
      </c>
      <c r="B56" s="40">
        <v>72122</v>
      </c>
      <c r="C56" s="12" t="s">
        <v>932</v>
      </c>
      <c r="D56" s="76" t="s">
        <v>18</v>
      </c>
      <c r="E56" s="86">
        <v>0.3</v>
      </c>
      <c r="F56" s="284">
        <v>80.84</v>
      </c>
      <c r="G56" s="338">
        <f>F56*(1+$H$7)</f>
        <v>104.23509600000001</v>
      </c>
      <c r="H56" s="87">
        <f>E56*G56</f>
        <v>31.270528800000001</v>
      </c>
    </row>
    <row r="57" spans="1:9" ht="36" x14ac:dyDescent="0.2">
      <c r="A57" s="40" t="s">
        <v>930</v>
      </c>
      <c r="B57" s="40">
        <v>90823</v>
      </c>
      <c r="C57" s="12" t="s">
        <v>929</v>
      </c>
      <c r="D57" s="76" t="s">
        <v>77</v>
      </c>
      <c r="E57" s="86">
        <v>3</v>
      </c>
      <c r="F57" s="284">
        <v>374.5</v>
      </c>
      <c r="G57" s="338">
        <f>F57*(1+$H$7)</f>
        <v>482.88030000000003</v>
      </c>
      <c r="H57" s="87">
        <f>E57*G57</f>
        <v>1448.6409000000001</v>
      </c>
    </row>
    <row r="58" spans="1:9" ht="12.75" customHeight="1" x14ac:dyDescent="0.2">
      <c r="A58" s="350" t="s">
        <v>636</v>
      </c>
      <c r="B58" s="351"/>
      <c r="C58" s="351"/>
      <c r="D58" s="351"/>
      <c r="E58" s="351"/>
      <c r="F58" s="26"/>
      <c r="G58" s="341"/>
      <c r="H58" s="83">
        <f>SUM(H53:H57)</f>
        <v>5484.4306649999999</v>
      </c>
    </row>
    <row r="59" spans="1:9" ht="9" customHeight="1" thickBot="1" x14ac:dyDescent="0.25"/>
    <row r="60" spans="1:9" ht="13.5" thickBot="1" x14ac:dyDescent="0.25">
      <c r="A60" s="42" t="s">
        <v>48</v>
      </c>
      <c r="B60" s="42"/>
      <c r="C60" s="11" t="s">
        <v>86</v>
      </c>
      <c r="D60" s="74"/>
      <c r="E60" s="74"/>
      <c r="F60" s="74"/>
      <c r="G60" s="337"/>
      <c r="H60" s="75"/>
    </row>
    <row r="61" spans="1:9" x14ac:dyDescent="0.2">
      <c r="A61" s="39" t="s">
        <v>49</v>
      </c>
      <c r="B61" s="39" t="s">
        <v>920</v>
      </c>
      <c r="C61" s="12" t="s">
        <v>951</v>
      </c>
      <c r="D61" s="85" t="s">
        <v>11</v>
      </c>
      <c r="E61" s="86">
        <v>2.0699999999999998</v>
      </c>
      <c r="F61" s="284">
        <v>145</v>
      </c>
      <c r="G61" s="342">
        <f t="shared" ref="G61" si="9">F61*(1+$H$7)</f>
        <v>186.96300000000002</v>
      </c>
      <c r="H61" s="87">
        <f>E61*G61</f>
        <v>387.01341000000002</v>
      </c>
      <c r="I61" s="28"/>
    </row>
    <row r="62" spans="1:9" ht="24" x14ac:dyDescent="0.2">
      <c r="A62" s="39" t="s">
        <v>50</v>
      </c>
      <c r="B62" s="39">
        <v>95240</v>
      </c>
      <c r="C62" s="12" t="s">
        <v>933</v>
      </c>
      <c r="D62" s="85" t="s">
        <v>11</v>
      </c>
      <c r="E62" s="86">
        <v>41.27</v>
      </c>
      <c r="F62" s="284">
        <v>11.39</v>
      </c>
      <c r="G62" s="342">
        <f t="shared" ref="G62:G63" si="10">F62*(1+$H$7)</f>
        <v>14.686266000000002</v>
      </c>
      <c r="H62" s="87">
        <f>E62*G62</f>
        <v>606.10219782000013</v>
      </c>
      <c r="I62" s="28"/>
    </row>
    <row r="63" spans="1:9" ht="36" x14ac:dyDescent="0.2">
      <c r="A63" s="39" t="s">
        <v>824</v>
      </c>
      <c r="B63" s="40">
        <v>87247</v>
      </c>
      <c r="C63" s="13" t="s">
        <v>956</v>
      </c>
      <c r="D63" s="79" t="s">
        <v>18</v>
      </c>
      <c r="E63" s="88">
        <v>41.27</v>
      </c>
      <c r="F63" s="285">
        <v>29.74</v>
      </c>
      <c r="G63" s="342">
        <f t="shared" si="10"/>
        <v>38.346755999999999</v>
      </c>
      <c r="H63" s="87">
        <f t="shared" ref="H63" si="11">E63*G63</f>
        <v>1582.5706201200001</v>
      </c>
    </row>
    <row r="64" spans="1:9" x14ac:dyDescent="0.2">
      <c r="A64" s="39" t="s">
        <v>950</v>
      </c>
      <c r="B64" s="40">
        <v>88648</v>
      </c>
      <c r="C64" s="13" t="s">
        <v>934</v>
      </c>
      <c r="D64" s="79" t="s">
        <v>925</v>
      </c>
      <c r="E64" s="88">
        <v>47.7</v>
      </c>
      <c r="F64" s="285">
        <v>4</v>
      </c>
      <c r="G64" s="342">
        <f t="shared" ref="G64" si="12">F64*(1+$H$7)</f>
        <v>5.1576000000000004</v>
      </c>
      <c r="H64" s="87">
        <f t="shared" ref="H64" si="13">E64*G64</f>
        <v>246.01752000000005</v>
      </c>
    </row>
    <row r="65" spans="1:8" ht="12.75" customHeight="1" x14ac:dyDescent="0.2">
      <c r="A65" s="350" t="s">
        <v>51</v>
      </c>
      <c r="B65" s="351"/>
      <c r="C65" s="351"/>
      <c r="D65" s="351"/>
      <c r="E65" s="351"/>
      <c r="F65" s="26"/>
      <c r="G65" s="341"/>
      <c r="H65" s="83">
        <f>SUM(H61:H64)</f>
        <v>2821.7037479400001</v>
      </c>
    </row>
    <row r="66" spans="1:8" ht="9" customHeight="1" thickBot="1" x14ac:dyDescent="0.25"/>
    <row r="67" spans="1:8" ht="13.5" thickBot="1" x14ac:dyDescent="0.25">
      <c r="A67" s="42" t="s">
        <v>52</v>
      </c>
      <c r="B67" s="42"/>
      <c r="C67" s="11" t="s">
        <v>145</v>
      </c>
      <c r="D67" s="74"/>
      <c r="E67" s="74"/>
      <c r="F67" s="74"/>
      <c r="G67" s="337"/>
      <c r="H67" s="75"/>
    </row>
    <row r="68" spans="1:8" ht="36" x14ac:dyDescent="0.2">
      <c r="A68" s="40" t="s">
        <v>53</v>
      </c>
      <c r="B68" s="40">
        <v>87879</v>
      </c>
      <c r="C68" s="13" t="s">
        <v>875</v>
      </c>
      <c r="D68" s="94" t="s">
        <v>18</v>
      </c>
      <c r="E68" s="125">
        <v>240.2</v>
      </c>
      <c r="F68" s="285">
        <v>2.67</v>
      </c>
      <c r="G68" s="342">
        <f t="shared" ref="G68:G71" si="14">F68*(1+$H$7)</f>
        <v>3.442698</v>
      </c>
      <c r="H68" s="89">
        <f t="shared" ref="H68:H71" si="15">E68*G68</f>
        <v>826.93605960000002</v>
      </c>
    </row>
    <row r="69" spans="1:8" ht="39.75" customHeight="1" x14ac:dyDescent="0.2">
      <c r="A69" s="40" t="s">
        <v>54</v>
      </c>
      <c r="B69" s="40">
        <v>87547</v>
      </c>
      <c r="C69" s="13" t="s">
        <v>853</v>
      </c>
      <c r="D69" s="94" t="s">
        <v>18</v>
      </c>
      <c r="E69" s="88">
        <v>212.8</v>
      </c>
      <c r="F69" s="285">
        <v>15.27</v>
      </c>
      <c r="G69" s="342">
        <f t="shared" ref="G69:G70" si="16">F69*(1+$H$7)</f>
        <v>19.689138</v>
      </c>
      <c r="H69" s="89">
        <f t="shared" ref="H69:H70" si="17">E69*G69</f>
        <v>4189.8485664</v>
      </c>
    </row>
    <row r="70" spans="1:8" ht="39.75" customHeight="1" x14ac:dyDescent="0.2">
      <c r="A70" s="40" t="s">
        <v>55</v>
      </c>
      <c r="B70" s="40" t="s">
        <v>936</v>
      </c>
      <c r="C70" s="13" t="s">
        <v>935</v>
      </c>
      <c r="D70" s="94" t="s">
        <v>18</v>
      </c>
      <c r="E70" s="88">
        <v>15.9</v>
      </c>
      <c r="F70" s="285">
        <v>32</v>
      </c>
      <c r="G70" s="342">
        <f t="shared" si="16"/>
        <v>41.260800000000003</v>
      </c>
      <c r="H70" s="89">
        <f t="shared" si="17"/>
        <v>656.04672000000005</v>
      </c>
    </row>
    <row r="71" spans="1:8" ht="39.75" customHeight="1" x14ac:dyDescent="0.2">
      <c r="A71" s="40" t="s">
        <v>56</v>
      </c>
      <c r="B71" s="40">
        <v>96111</v>
      </c>
      <c r="C71" s="13" t="s">
        <v>937</v>
      </c>
      <c r="D71" s="94" t="s">
        <v>18</v>
      </c>
      <c r="E71" s="88">
        <v>15.9</v>
      </c>
      <c r="F71" s="285">
        <v>35.61</v>
      </c>
      <c r="G71" s="342">
        <f t="shared" si="14"/>
        <v>45.915534000000001</v>
      </c>
      <c r="H71" s="89">
        <f t="shared" si="15"/>
        <v>730.05699060000006</v>
      </c>
    </row>
    <row r="72" spans="1:8" ht="12.75" customHeight="1" x14ac:dyDescent="0.2">
      <c r="A72" s="350" t="s">
        <v>58</v>
      </c>
      <c r="B72" s="351"/>
      <c r="C72" s="351"/>
      <c r="D72" s="351"/>
      <c r="E72" s="351"/>
      <c r="F72" s="26"/>
      <c r="G72" s="341"/>
      <c r="H72" s="83">
        <f>SUM(H68:H71)</f>
        <v>6402.8883366</v>
      </c>
    </row>
    <row r="73" spans="1:8" ht="9" customHeight="1" thickBot="1" x14ac:dyDescent="0.25"/>
    <row r="74" spans="1:8" ht="13.5" thickBot="1" x14ac:dyDescent="0.25">
      <c r="A74" s="42" t="s">
        <v>154</v>
      </c>
      <c r="B74" s="42"/>
      <c r="C74" s="11" t="s">
        <v>87</v>
      </c>
      <c r="D74" s="74"/>
      <c r="E74" s="74"/>
      <c r="F74" s="74"/>
      <c r="G74" s="337"/>
      <c r="H74" s="75"/>
    </row>
    <row r="75" spans="1:8" ht="24" x14ac:dyDescent="0.2">
      <c r="A75" s="39" t="s">
        <v>155</v>
      </c>
      <c r="B75" s="39">
        <v>88485</v>
      </c>
      <c r="C75" s="12" t="s">
        <v>158</v>
      </c>
      <c r="D75" s="85" t="s">
        <v>18</v>
      </c>
      <c r="E75" s="86">
        <v>240.2</v>
      </c>
      <c r="F75" s="284">
        <v>1.71</v>
      </c>
      <c r="G75" s="338">
        <f t="shared" ref="G75:G77" si="18">F75*(1+$H$7)</f>
        <v>2.2048740000000002</v>
      </c>
      <c r="H75" s="87">
        <f t="shared" ref="H75:H77" si="19">E75*G75</f>
        <v>529.61073480000005</v>
      </c>
    </row>
    <row r="76" spans="1:8" ht="24" x14ac:dyDescent="0.2">
      <c r="A76" s="39" t="s">
        <v>156</v>
      </c>
      <c r="B76" s="39">
        <v>88489</v>
      </c>
      <c r="C76" s="12" t="s">
        <v>160</v>
      </c>
      <c r="D76" s="85" t="s">
        <v>18</v>
      </c>
      <c r="E76" s="86">
        <v>224.3</v>
      </c>
      <c r="F76" s="284">
        <v>10.1</v>
      </c>
      <c r="G76" s="342">
        <f t="shared" si="18"/>
        <v>13.02294</v>
      </c>
      <c r="H76" s="87">
        <f t="shared" si="19"/>
        <v>2921.0454420000001</v>
      </c>
    </row>
    <row r="77" spans="1:8" ht="24" x14ac:dyDescent="0.2">
      <c r="A77" s="39" t="s">
        <v>847</v>
      </c>
      <c r="B77" s="39" t="s">
        <v>165</v>
      </c>
      <c r="C77" s="126" t="s">
        <v>164</v>
      </c>
      <c r="D77" s="85" t="s">
        <v>18</v>
      </c>
      <c r="E77" s="86">
        <v>5.04</v>
      </c>
      <c r="F77" s="284">
        <v>20.260000000000002</v>
      </c>
      <c r="G77" s="342">
        <f t="shared" si="18"/>
        <v>26.123244000000003</v>
      </c>
      <c r="H77" s="87">
        <f t="shared" si="19"/>
        <v>131.66114976000003</v>
      </c>
    </row>
    <row r="78" spans="1:8" ht="24" x14ac:dyDescent="0.2">
      <c r="A78" s="40" t="s">
        <v>848</v>
      </c>
      <c r="B78" s="40" t="s">
        <v>852</v>
      </c>
      <c r="C78" s="127" t="s">
        <v>851</v>
      </c>
      <c r="D78" s="94" t="s">
        <v>18</v>
      </c>
      <c r="E78" s="88">
        <v>9.42</v>
      </c>
      <c r="F78" s="285">
        <v>10.38</v>
      </c>
      <c r="G78" s="342">
        <f>F78*(1+$H$7)</f>
        <v>13.383972000000002</v>
      </c>
      <c r="H78" s="89">
        <f>E78*G78</f>
        <v>126.07701624000002</v>
      </c>
    </row>
    <row r="79" spans="1:8" ht="24" x14ac:dyDescent="0.2">
      <c r="A79" s="40" t="s">
        <v>849</v>
      </c>
      <c r="B79" s="40" t="s">
        <v>651</v>
      </c>
      <c r="C79" s="127" t="s">
        <v>650</v>
      </c>
      <c r="D79" s="94" t="s">
        <v>18</v>
      </c>
      <c r="E79" s="88">
        <v>9.42</v>
      </c>
      <c r="F79" s="285">
        <v>21.08</v>
      </c>
      <c r="G79" s="342">
        <f>F79*(1+$H$7)</f>
        <v>27.180551999999999</v>
      </c>
      <c r="H79" s="89">
        <f>E79*G79</f>
        <v>256.04079983999998</v>
      </c>
    </row>
    <row r="80" spans="1:8" ht="12.75" customHeight="1" x14ac:dyDescent="0.2">
      <c r="A80" s="350" t="s">
        <v>59</v>
      </c>
      <c r="B80" s="351"/>
      <c r="C80" s="351"/>
      <c r="D80" s="351"/>
      <c r="E80" s="351"/>
      <c r="F80" s="26"/>
      <c r="G80" s="341"/>
      <c r="H80" s="83">
        <f>SUM(H75:H79)</f>
        <v>3964.4351426400003</v>
      </c>
    </row>
    <row r="81" spans="1:8" ht="9" customHeight="1" thickBot="1" x14ac:dyDescent="0.25"/>
    <row r="82" spans="1:8" s="3" customFormat="1" ht="13.5" thickBot="1" x14ac:dyDescent="0.25">
      <c r="A82" s="42" t="s">
        <v>60</v>
      </c>
      <c r="B82" s="42"/>
      <c r="C82" s="11" t="s">
        <v>88</v>
      </c>
      <c r="D82" s="74"/>
      <c r="E82" s="74"/>
      <c r="F82" s="74"/>
      <c r="G82" s="337"/>
      <c r="H82" s="75"/>
    </row>
    <row r="83" spans="1:8" s="3" customFormat="1" x14ac:dyDescent="0.2">
      <c r="A83" s="45" t="s">
        <v>62</v>
      </c>
      <c r="B83" s="45"/>
      <c r="C83" s="122" t="s">
        <v>503</v>
      </c>
      <c r="D83" s="123"/>
      <c r="E83" s="113"/>
      <c r="F83" s="50"/>
      <c r="G83" s="344"/>
      <c r="H83" s="99"/>
    </row>
    <row r="84" spans="1:8" s="3" customFormat="1" ht="24" x14ac:dyDescent="0.2">
      <c r="A84" s="40" t="s">
        <v>170</v>
      </c>
      <c r="B84" s="40" t="s">
        <v>952</v>
      </c>
      <c r="C84" s="13" t="s">
        <v>953</v>
      </c>
      <c r="D84" s="79" t="s">
        <v>77</v>
      </c>
      <c r="E84" s="125">
        <v>1</v>
      </c>
      <c r="F84" s="285">
        <v>555</v>
      </c>
      <c r="G84" s="342">
        <f>F84*(1+$H$7)</f>
        <v>715.61700000000008</v>
      </c>
      <c r="H84" s="89">
        <f>E84*G84</f>
        <v>715.61700000000008</v>
      </c>
    </row>
    <row r="85" spans="1:8" s="3" customFormat="1" ht="36" x14ac:dyDescent="0.2">
      <c r="A85" s="39" t="s">
        <v>171</v>
      </c>
      <c r="B85" s="39" t="s">
        <v>939</v>
      </c>
      <c r="C85" s="16" t="s">
        <v>938</v>
      </c>
      <c r="D85" s="194" t="s">
        <v>77</v>
      </c>
      <c r="E85" s="195">
        <v>1</v>
      </c>
      <c r="F85" s="289">
        <v>61.95</v>
      </c>
      <c r="G85" s="342">
        <f>F85*(1+$H$7)</f>
        <v>79.878330000000005</v>
      </c>
      <c r="H85" s="89">
        <f>E85*G85</f>
        <v>79.878330000000005</v>
      </c>
    </row>
    <row r="86" spans="1:8" s="3" customFormat="1" x14ac:dyDescent="0.2">
      <c r="A86" s="55" t="s">
        <v>63</v>
      </c>
      <c r="B86" s="46"/>
      <c r="C86" s="17" t="s">
        <v>128</v>
      </c>
      <c r="D86" s="108"/>
      <c r="E86" s="101"/>
      <c r="F86" s="109"/>
      <c r="G86" s="345"/>
      <c r="H86" s="106"/>
    </row>
    <row r="87" spans="1:8" s="3" customFormat="1" ht="24" x14ac:dyDescent="0.2">
      <c r="A87" s="40" t="s">
        <v>172</v>
      </c>
      <c r="B87" s="40">
        <v>93667</v>
      </c>
      <c r="C87" s="12" t="s">
        <v>940</v>
      </c>
      <c r="D87" s="76" t="s">
        <v>77</v>
      </c>
      <c r="E87" s="86">
        <v>1</v>
      </c>
      <c r="F87" s="284">
        <v>11.18</v>
      </c>
      <c r="G87" s="342">
        <f>F87*(1+$H$7)</f>
        <v>14.415492</v>
      </c>
      <c r="H87" s="87">
        <f>E87*G87</f>
        <v>14.415492</v>
      </c>
    </row>
    <row r="88" spans="1:8" s="3" customFormat="1" ht="24" x14ac:dyDescent="0.2">
      <c r="A88" s="40" t="s">
        <v>174</v>
      </c>
      <c r="B88" s="40">
        <v>93655</v>
      </c>
      <c r="C88" s="13" t="s">
        <v>506</v>
      </c>
      <c r="D88" s="79" t="s">
        <v>77</v>
      </c>
      <c r="E88" s="88">
        <v>2</v>
      </c>
      <c r="F88" s="285">
        <v>10.27</v>
      </c>
      <c r="G88" s="342">
        <f>F88*(1+$H$7)</f>
        <v>13.242138000000001</v>
      </c>
      <c r="H88" s="87">
        <f>E88*G88</f>
        <v>26.484276000000001</v>
      </c>
    </row>
    <row r="89" spans="1:8" s="3" customFormat="1" x14ac:dyDescent="0.2">
      <c r="A89" s="55" t="s">
        <v>64</v>
      </c>
      <c r="B89" s="47"/>
      <c r="C89" s="17" t="s">
        <v>175</v>
      </c>
      <c r="D89" s="108"/>
      <c r="E89" s="101"/>
      <c r="F89" s="109"/>
      <c r="G89" s="345"/>
      <c r="H89" s="106"/>
    </row>
    <row r="90" spans="1:8" s="3" customFormat="1" ht="24" x14ac:dyDescent="0.2">
      <c r="A90" s="40" t="s">
        <v>176</v>
      </c>
      <c r="B90" s="40">
        <v>97593</v>
      </c>
      <c r="C90" s="12" t="s">
        <v>879</v>
      </c>
      <c r="D90" s="85" t="s">
        <v>77</v>
      </c>
      <c r="E90" s="86">
        <v>8</v>
      </c>
      <c r="F90" s="284">
        <v>48.34</v>
      </c>
      <c r="G90" s="342">
        <f>F90*(1+$H$7)</f>
        <v>62.329596000000009</v>
      </c>
      <c r="H90" s="87">
        <f>E90*G90</f>
        <v>498.63676800000007</v>
      </c>
    </row>
    <row r="91" spans="1:8" s="3" customFormat="1" x14ac:dyDescent="0.2">
      <c r="A91" s="55" t="s">
        <v>113</v>
      </c>
      <c r="B91" s="46"/>
      <c r="C91" s="17" t="s">
        <v>179</v>
      </c>
      <c r="D91" s="108"/>
      <c r="E91" s="109"/>
      <c r="F91" s="109"/>
      <c r="G91" s="345"/>
      <c r="H91" s="106"/>
    </row>
    <row r="92" spans="1:8" s="3" customFormat="1" ht="31.5" customHeight="1" x14ac:dyDescent="0.2">
      <c r="A92" s="56" t="s">
        <v>178</v>
      </c>
      <c r="B92" s="40">
        <v>91871</v>
      </c>
      <c r="C92" s="12" t="s">
        <v>880</v>
      </c>
      <c r="D92" s="76" t="s">
        <v>47</v>
      </c>
      <c r="E92" s="77">
        <v>80</v>
      </c>
      <c r="F92" s="286">
        <v>7.95</v>
      </c>
      <c r="G92" s="342">
        <f t="shared" ref="G92:G97" si="20">F92*(1+$H$7)</f>
        <v>10.250730000000001</v>
      </c>
      <c r="H92" s="87">
        <f t="shared" ref="H92:H97" si="21">E92*G92</f>
        <v>820.05840000000012</v>
      </c>
    </row>
    <row r="93" spans="1:8" s="3" customFormat="1" ht="24" x14ac:dyDescent="0.2">
      <c r="A93" s="56" t="s">
        <v>180</v>
      </c>
      <c r="B93" s="40">
        <v>91940</v>
      </c>
      <c r="C93" s="13" t="s">
        <v>883</v>
      </c>
      <c r="D93" s="94" t="s">
        <v>77</v>
      </c>
      <c r="E93" s="88">
        <v>14</v>
      </c>
      <c r="F93" s="285">
        <v>9.4</v>
      </c>
      <c r="G93" s="342">
        <f t="shared" si="20"/>
        <v>12.120360000000002</v>
      </c>
      <c r="H93" s="87">
        <f t="shared" si="21"/>
        <v>169.68504000000001</v>
      </c>
    </row>
    <row r="94" spans="1:8" s="3" customFormat="1" ht="30.75" customHeight="1" x14ac:dyDescent="0.2">
      <c r="A94" s="56" t="s">
        <v>181</v>
      </c>
      <c r="B94" s="40">
        <v>91932</v>
      </c>
      <c r="C94" s="13" t="s">
        <v>955</v>
      </c>
      <c r="D94" s="94" t="s">
        <v>47</v>
      </c>
      <c r="E94" s="88">
        <v>15</v>
      </c>
      <c r="F94" s="285">
        <v>8.02</v>
      </c>
      <c r="G94" s="342">
        <f t="shared" si="20"/>
        <v>10.340987999999999</v>
      </c>
      <c r="H94" s="87">
        <f t="shared" si="21"/>
        <v>155.11481999999998</v>
      </c>
    </row>
    <row r="95" spans="1:8" s="3" customFormat="1" ht="30.75" customHeight="1" x14ac:dyDescent="0.2">
      <c r="A95" s="56" t="s">
        <v>881</v>
      </c>
      <c r="B95" s="40">
        <v>91930</v>
      </c>
      <c r="C95" s="13" t="s">
        <v>861</v>
      </c>
      <c r="D95" s="94" t="s">
        <v>47</v>
      </c>
      <c r="E95" s="88">
        <v>40</v>
      </c>
      <c r="F95" s="285">
        <v>4.99</v>
      </c>
      <c r="G95" s="342">
        <f t="shared" si="20"/>
        <v>6.4341060000000008</v>
      </c>
      <c r="H95" s="87">
        <f t="shared" si="21"/>
        <v>257.36424000000005</v>
      </c>
    </row>
    <row r="96" spans="1:8" s="3" customFormat="1" ht="36" x14ac:dyDescent="0.2">
      <c r="A96" s="56" t="s">
        <v>882</v>
      </c>
      <c r="B96" s="40">
        <v>91926</v>
      </c>
      <c r="C96" s="13" t="s">
        <v>862</v>
      </c>
      <c r="D96" s="94" t="s">
        <v>47</v>
      </c>
      <c r="E96" s="88">
        <v>100</v>
      </c>
      <c r="F96" s="285">
        <v>2.27</v>
      </c>
      <c r="G96" s="342">
        <f t="shared" si="20"/>
        <v>2.9269380000000003</v>
      </c>
      <c r="H96" s="87">
        <f t="shared" si="21"/>
        <v>292.69380000000001</v>
      </c>
    </row>
    <row r="97" spans="1:8" s="3" customFormat="1" ht="36" x14ac:dyDescent="0.2">
      <c r="A97" s="56" t="s">
        <v>954</v>
      </c>
      <c r="B97" s="40">
        <v>91924</v>
      </c>
      <c r="C97" s="13" t="s">
        <v>863</v>
      </c>
      <c r="D97" s="94" t="s">
        <v>47</v>
      </c>
      <c r="E97" s="88">
        <v>150</v>
      </c>
      <c r="F97" s="285">
        <v>1.56</v>
      </c>
      <c r="G97" s="342">
        <f t="shared" si="20"/>
        <v>2.0114640000000001</v>
      </c>
      <c r="H97" s="87">
        <f t="shared" si="21"/>
        <v>301.71960000000001</v>
      </c>
    </row>
    <row r="98" spans="1:8" s="3" customFormat="1" ht="12.75" customHeight="1" x14ac:dyDescent="0.2">
      <c r="A98" s="350" t="s">
        <v>61</v>
      </c>
      <c r="B98" s="351"/>
      <c r="C98" s="351"/>
      <c r="D98" s="351"/>
      <c r="E98" s="351"/>
      <c r="F98" s="26"/>
      <c r="G98" s="341"/>
      <c r="H98" s="83">
        <f>SUM(H84:H97)</f>
        <v>3331.6677659999996</v>
      </c>
    </row>
    <row r="99" spans="1:8" ht="9" customHeight="1" thickBot="1" x14ac:dyDescent="0.25"/>
    <row r="100" spans="1:8" s="3" customFormat="1" ht="13.5" thickBot="1" x14ac:dyDescent="0.25">
      <c r="A100" s="42" t="s">
        <v>65</v>
      </c>
      <c r="B100" s="42"/>
      <c r="C100" s="11" t="s">
        <v>89</v>
      </c>
      <c r="D100" s="74"/>
      <c r="E100" s="74"/>
      <c r="F100" s="74"/>
      <c r="G100" s="337"/>
      <c r="H100" s="75"/>
    </row>
    <row r="101" spans="1:8" s="3" customFormat="1" ht="24" x14ac:dyDescent="0.2">
      <c r="A101" s="37" t="s">
        <v>197</v>
      </c>
      <c r="B101" s="49">
        <v>89402</v>
      </c>
      <c r="C101" s="12" t="s">
        <v>877</v>
      </c>
      <c r="D101" s="76" t="s">
        <v>47</v>
      </c>
      <c r="E101" s="77">
        <v>6</v>
      </c>
      <c r="F101" s="284">
        <v>6.41</v>
      </c>
      <c r="G101" s="342">
        <f t="shared" ref="G101:G105" si="22">F101*(1+$H$7)</f>
        <v>8.265054000000001</v>
      </c>
      <c r="H101" s="78">
        <f t="shared" ref="H101:H108" si="23">E101*G101</f>
        <v>49.59032400000001</v>
      </c>
    </row>
    <row r="102" spans="1:8" s="3" customFormat="1" ht="24" x14ac:dyDescent="0.2">
      <c r="A102" s="37" t="s">
        <v>219</v>
      </c>
      <c r="B102" s="49">
        <v>89408</v>
      </c>
      <c r="C102" s="13" t="s">
        <v>884</v>
      </c>
      <c r="D102" s="79" t="s">
        <v>77</v>
      </c>
      <c r="E102" s="80">
        <v>6</v>
      </c>
      <c r="F102" s="285">
        <v>3.89</v>
      </c>
      <c r="G102" s="342">
        <f t="shared" ref="G102" si="24">F102*(1+$H$7)</f>
        <v>5.0157660000000002</v>
      </c>
      <c r="H102" s="78">
        <f t="shared" ref="H102" si="25">E102*G102</f>
        <v>30.094596000000003</v>
      </c>
    </row>
    <row r="103" spans="1:8" s="3" customFormat="1" ht="24" x14ac:dyDescent="0.2">
      <c r="A103" s="37" t="s">
        <v>225</v>
      </c>
      <c r="B103" s="49">
        <v>89395</v>
      </c>
      <c r="C103" s="13" t="s">
        <v>207</v>
      </c>
      <c r="D103" s="79" t="s">
        <v>77</v>
      </c>
      <c r="E103" s="80">
        <v>1</v>
      </c>
      <c r="F103" s="285">
        <v>7.85</v>
      </c>
      <c r="G103" s="342">
        <f>F103*(1+$H$7)</f>
        <v>10.121790000000001</v>
      </c>
      <c r="H103" s="78">
        <f>E103*G103</f>
        <v>10.121790000000001</v>
      </c>
    </row>
    <row r="104" spans="1:8" s="3" customFormat="1" ht="36" x14ac:dyDescent="0.2">
      <c r="A104" s="37" t="s">
        <v>844</v>
      </c>
      <c r="B104" s="129">
        <v>90373</v>
      </c>
      <c r="C104" s="127" t="s">
        <v>208</v>
      </c>
      <c r="D104" s="79" t="s">
        <v>77</v>
      </c>
      <c r="E104" s="80">
        <v>2</v>
      </c>
      <c r="F104" s="285">
        <v>8.93</v>
      </c>
      <c r="G104" s="342">
        <f>F104*(1+$H$7)</f>
        <v>11.514342000000001</v>
      </c>
      <c r="H104" s="78">
        <f>E104*G104</f>
        <v>23.028684000000002</v>
      </c>
    </row>
    <row r="105" spans="1:8" s="3" customFormat="1" ht="36" x14ac:dyDescent="0.2">
      <c r="A105" s="37" t="s">
        <v>845</v>
      </c>
      <c r="B105" s="49">
        <v>89429</v>
      </c>
      <c r="C105" s="12" t="s">
        <v>206</v>
      </c>
      <c r="D105" s="79" t="s">
        <v>77</v>
      </c>
      <c r="E105" s="80">
        <v>2</v>
      </c>
      <c r="F105" s="285">
        <v>3.02</v>
      </c>
      <c r="G105" s="342">
        <f t="shared" si="22"/>
        <v>3.8939880000000002</v>
      </c>
      <c r="H105" s="78">
        <f t="shared" si="23"/>
        <v>7.7879760000000005</v>
      </c>
    </row>
    <row r="106" spans="1:8" s="3" customFormat="1" ht="36" x14ac:dyDescent="0.2">
      <c r="A106" s="37" t="s">
        <v>846</v>
      </c>
      <c r="B106" s="38">
        <v>89987</v>
      </c>
      <c r="C106" s="19" t="s">
        <v>199</v>
      </c>
      <c r="D106" s="79" t="s">
        <v>77</v>
      </c>
      <c r="E106" s="80">
        <v>3</v>
      </c>
      <c r="F106" s="285">
        <v>99.2</v>
      </c>
      <c r="G106" s="342">
        <f>F106*(1+$H$7)</f>
        <v>127.90848000000001</v>
      </c>
      <c r="H106" s="78">
        <f t="shared" ref="H106:H107" si="26">E106*G106</f>
        <v>383.72544000000005</v>
      </c>
    </row>
    <row r="107" spans="1:8" s="3" customFormat="1" x14ac:dyDescent="0.2">
      <c r="A107" s="37" t="s">
        <v>943</v>
      </c>
      <c r="B107" s="38" t="s">
        <v>936</v>
      </c>
      <c r="C107" s="19" t="s">
        <v>941</v>
      </c>
      <c r="D107" s="79" t="s">
        <v>77</v>
      </c>
      <c r="E107" s="80">
        <v>1</v>
      </c>
      <c r="F107" s="285">
        <v>550</v>
      </c>
      <c r="G107" s="342">
        <f>F107*(1+$H$7)</f>
        <v>709.17000000000007</v>
      </c>
      <c r="H107" s="78">
        <f t="shared" si="26"/>
        <v>709.17000000000007</v>
      </c>
    </row>
    <row r="108" spans="1:8" s="3" customFormat="1" x14ac:dyDescent="0.2">
      <c r="A108" s="37" t="s">
        <v>944</v>
      </c>
      <c r="B108" s="38" t="s">
        <v>936</v>
      </c>
      <c r="C108" s="19" t="s">
        <v>942</v>
      </c>
      <c r="D108" s="79" t="s">
        <v>77</v>
      </c>
      <c r="E108" s="80">
        <v>1</v>
      </c>
      <c r="F108" s="285">
        <v>155</v>
      </c>
      <c r="G108" s="342">
        <f>F108*(1+$H$7)</f>
        <v>199.85700000000003</v>
      </c>
      <c r="H108" s="78">
        <f t="shared" si="23"/>
        <v>199.85700000000003</v>
      </c>
    </row>
    <row r="109" spans="1:8" s="3" customFormat="1" ht="12.75" customHeight="1" x14ac:dyDescent="0.2">
      <c r="A109" s="350" t="s">
        <v>66</v>
      </c>
      <c r="B109" s="351"/>
      <c r="C109" s="351"/>
      <c r="D109" s="351"/>
      <c r="E109" s="351"/>
      <c r="F109" s="26"/>
      <c r="G109" s="341"/>
      <c r="H109" s="83">
        <f>SUM(H101:H108)</f>
        <v>1413.37581</v>
      </c>
    </row>
    <row r="110" spans="1:8" s="3" customFormat="1" ht="9" customHeight="1" thickBot="1" x14ac:dyDescent="0.25">
      <c r="A110" s="50"/>
      <c r="B110" s="50"/>
      <c r="C110" s="23"/>
      <c r="D110" s="23"/>
      <c r="E110" s="113"/>
      <c r="F110" s="50"/>
      <c r="G110" s="344"/>
      <c r="H110" s="114"/>
    </row>
    <row r="111" spans="1:8" s="3" customFormat="1" ht="13.5" thickBot="1" x14ac:dyDescent="0.25">
      <c r="A111" s="42" t="s">
        <v>67</v>
      </c>
      <c r="B111" s="42"/>
      <c r="C111" s="11" t="s">
        <v>90</v>
      </c>
      <c r="D111" s="74"/>
      <c r="E111" s="74"/>
      <c r="F111" s="74"/>
      <c r="G111" s="337"/>
      <c r="H111" s="75"/>
    </row>
    <row r="112" spans="1:8" s="3" customFormat="1" ht="36" x14ac:dyDescent="0.2">
      <c r="A112" s="52" t="s">
        <v>230</v>
      </c>
      <c r="B112" s="133">
        <v>89711</v>
      </c>
      <c r="C112" s="25" t="s">
        <v>202</v>
      </c>
      <c r="D112" s="115" t="s">
        <v>47</v>
      </c>
      <c r="E112" s="77">
        <v>2</v>
      </c>
      <c r="F112" s="284">
        <v>12.36</v>
      </c>
      <c r="G112" s="342">
        <f t="shared" ref="G112:G122" si="27">F112*(1+$H$7)</f>
        <v>15.936984000000001</v>
      </c>
      <c r="H112" s="78">
        <f>E112*G112</f>
        <v>31.873968000000001</v>
      </c>
    </row>
    <row r="113" spans="1:8" s="3" customFormat="1" ht="36" x14ac:dyDescent="0.2">
      <c r="A113" s="52" t="s">
        <v>231</v>
      </c>
      <c r="B113" s="133">
        <v>89724</v>
      </c>
      <c r="C113" s="25" t="s">
        <v>209</v>
      </c>
      <c r="D113" s="115" t="s">
        <v>77</v>
      </c>
      <c r="E113" s="77">
        <v>2</v>
      </c>
      <c r="F113" s="284">
        <v>4.99</v>
      </c>
      <c r="G113" s="342">
        <f t="shared" si="27"/>
        <v>6.4341060000000008</v>
      </c>
      <c r="H113" s="78">
        <f t="shared" ref="H113:H122" si="28">E113*G113</f>
        <v>12.868212000000002</v>
      </c>
    </row>
    <row r="114" spans="1:8" s="3" customFormat="1" ht="36" x14ac:dyDescent="0.2">
      <c r="A114" s="52" t="s">
        <v>244</v>
      </c>
      <c r="B114" s="133">
        <v>89712</v>
      </c>
      <c r="C114" s="25" t="s">
        <v>201</v>
      </c>
      <c r="D114" s="115" t="s">
        <v>47</v>
      </c>
      <c r="E114" s="77">
        <v>2</v>
      </c>
      <c r="F114" s="284">
        <v>18.170000000000002</v>
      </c>
      <c r="G114" s="342">
        <f t="shared" si="27"/>
        <v>23.428398000000005</v>
      </c>
      <c r="H114" s="78">
        <f t="shared" si="28"/>
        <v>46.85679600000001</v>
      </c>
    </row>
    <row r="115" spans="1:8" s="3" customFormat="1" ht="36" x14ac:dyDescent="0.2">
      <c r="A115" s="52" t="s">
        <v>835</v>
      </c>
      <c r="B115" s="133">
        <v>89731</v>
      </c>
      <c r="C115" s="25" t="s">
        <v>210</v>
      </c>
      <c r="D115" s="115" t="s">
        <v>77</v>
      </c>
      <c r="E115" s="77">
        <v>2</v>
      </c>
      <c r="F115" s="284">
        <v>6.77</v>
      </c>
      <c r="G115" s="342">
        <f t="shared" si="27"/>
        <v>8.7292380000000005</v>
      </c>
      <c r="H115" s="78">
        <f t="shared" si="28"/>
        <v>17.458476000000001</v>
      </c>
    </row>
    <row r="116" spans="1:8" s="3" customFormat="1" ht="36" x14ac:dyDescent="0.2">
      <c r="A116" s="52" t="s">
        <v>836</v>
      </c>
      <c r="B116" s="133">
        <v>89714</v>
      </c>
      <c r="C116" s="25" t="s">
        <v>200</v>
      </c>
      <c r="D116" s="115" t="s">
        <v>47</v>
      </c>
      <c r="E116" s="77">
        <v>6</v>
      </c>
      <c r="F116" s="284">
        <v>35.96</v>
      </c>
      <c r="G116" s="342">
        <f t="shared" si="27"/>
        <v>46.366824000000008</v>
      </c>
      <c r="H116" s="78">
        <f t="shared" si="28"/>
        <v>278.20094400000005</v>
      </c>
    </row>
    <row r="117" spans="1:8" s="3" customFormat="1" ht="36" x14ac:dyDescent="0.2">
      <c r="A117" s="52" t="s">
        <v>837</v>
      </c>
      <c r="B117" s="133">
        <v>89744</v>
      </c>
      <c r="C117" s="25" t="s">
        <v>211</v>
      </c>
      <c r="D117" s="115" t="s">
        <v>77</v>
      </c>
      <c r="E117" s="77">
        <v>2</v>
      </c>
      <c r="F117" s="284">
        <v>14.88</v>
      </c>
      <c r="G117" s="342">
        <f t="shared" si="27"/>
        <v>19.186272000000002</v>
      </c>
      <c r="H117" s="78">
        <f t="shared" si="28"/>
        <v>38.372544000000005</v>
      </c>
    </row>
    <row r="118" spans="1:8" s="3" customFormat="1" ht="36" x14ac:dyDescent="0.2">
      <c r="A118" s="52" t="s">
        <v>838</v>
      </c>
      <c r="B118" s="51">
        <v>89709</v>
      </c>
      <c r="C118" s="25" t="s">
        <v>203</v>
      </c>
      <c r="D118" s="115" t="s">
        <v>77</v>
      </c>
      <c r="E118" s="77">
        <v>1</v>
      </c>
      <c r="F118" s="284">
        <v>8.3000000000000007</v>
      </c>
      <c r="G118" s="342">
        <f t="shared" si="27"/>
        <v>10.702020000000001</v>
      </c>
      <c r="H118" s="78">
        <f t="shared" si="28"/>
        <v>10.702020000000001</v>
      </c>
    </row>
    <row r="119" spans="1:8" s="3" customFormat="1" ht="36" x14ac:dyDescent="0.2">
      <c r="A119" s="52" t="s">
        <v>839</v>
      </c>
      <c r="B119" s="51" t="s">
        <v>666</v>
      </c>
      <c r="C119" s="25" t="s">
        <v>203</v>
      </c>
      <c r="D119" s="115" t="s">
        <v>77</v>
      </c>
      <c r="E119" s="77">
        <v>1</v>
      </c>
      <c r="F119" s="284">
        <v>80</v>
      </c>
      <c r="G119" s="342">
        <f t="shared" ref="G119" si="29">F119*(1+$H$7)</f>
        <v>103.15200000000002</v>
      </c>
      <c r="H119" s="78">
        <f t="shared" ref="H119" si="30">E119*G119</f>
        <v>103.15200000000002</v>
      </c>
    </row>
    <row r="120" spans="1:8" s="3" customFormat="1" ht="48" x14ac:dyDescent="0.2">
      <c r="A120" s="52" t="s">
        <v>840</v>
      </c>
      <c r="B120" s="53" t="s">
        <v>205</v>
      </c>
      <c r="C120" s="24" t="s">
        <v>204</v>
      </c>
      <c r="D120" s="116" t="s">
        <v>77</v>
      </c>
      <c r="E120" s="80">
        <v>1</v>
      </c>
      <c r="F120" s="285">
        <v>127.82</v>
      </c>
      <c r="G120" s="342">
        <f t="shared" si="27"/>
        <v>164.81110799999999</v>
      </c>
      <c r="H120" s="78">
        <f t="shared" si="28"/>
        <v>164.81110799999999</v>
      </c>
    </row>
    <row r="121" spans="1:8" s="3" customFormat="1" ht="48" x14ac:dyDescent="0.2">
      <c r="A121" s="52" t="s">
        <v>841</v>
      </c>
      <c r="B121" s="51">
        <v>95463</v>
      </c>
      <c r="C121" s="25" t="s">
        <v>833</v>
      </c>
      <c r="D121" s="115" t="s">
        <v>77</v>
      </c>
      <c r="E121" s="77">
        <v>1</v>
      </c>
      <c r="F121" s="284">
        <v>1275.56</v>
      </c>
      <c r="G121" s="342">
        <f t="shared" si="27"/>
        <v>1644.7070639999999</v>
      </c>
      <c r="H121" s="78">
        <f t="shared" si="28"/>
        <v>1644.7070639999999</v>
      </c>
    </row>
    <row r="122" spans="1:8" s="3" customFormat="1" ht="24" x14ac:dyDescent="0.2">
      <c r="A122" s="52" t="s">
        <v>842</v>
      </c>
      <c r="B122" s="56" t="s">
        <v>629</v>
      </c>
      <c r="C122" s="22" t="s">
        <v>834</v>
      </c>
      <c r="D122" s="104" t="s">
        <v>77</v>
      </c>
      <c r="E122" s="112">
        <v>1</v>
      </c>
      <c r="F122" s="285">
        <v>654.95000000000005</v>
      </c>
      <c r="G122" s="342">
        <f t="shared" si="27"/>
        <v>844.4925300000001</v>
      </c>
      <c r="H122" s="78">
        <f t="shared" si="28"/>
        <v>844.4925300000001</v>
      </c>
    </row>
    <row r="123" spans="1:8" s="3" customFormat="1" ht="12.75" customHeight="1" x14ac:dyDescent="0.2">
      <c r="A123" s="350" t="s">
        <v>637</v>
      </c>
      <c r="B123" s="351"/>
      <c r="C123" s="351"/>
      <c r="D123" s="351"/>
      <c r="E123" s="351"/>
      <c r="F123" s="26"/>
      <c r="G123" s="341"/>
      <c r="H123" s="83">
        <f>SUM(H112:H122)</f>
        <v>3193.4956619999998</v>
      </c>
    </row>
    <row r="124" spans="1:8" s="3" customFormat="1" ht="9" customHeight="1" thickBot="1" x14ac:dyDescent="0.25">
      <c r="A124" s="54"/>
      <c r="B124" s="54"/>
      <c r="C124" s="18"/>
      <c r="D124" s="54"/>
      <c r="E124" s="102"/>
      <c r="F124" s="54"/>
      <c r="G124" s="343"/>
      <c r="H124" s="103"/>
    </row>
    <row r="125" spans="1:8" s="3" customFormat="1" ht="13.5" thickBot="1" x14ac:dyDescent="0.25">
      <c r="A125" s="42" t="s">
        <v>68</v>
      </c>
      <c r="B125" s="42"/>
      <c r="C125" s="11" t="s">
        <v>198</v>
      </c>
      <c r="D125" s="74"/>
      <c r="E125" s="74"/>
      <c r="F125" s="74"/>
      <c r="G125" s="337"/>
      <c r="H125" s="75"/>
    </row>
    <row r="126" spans="1:8" s="3" customFormat="1" ht="36" x14ac:dyDescent="0.2">
      <c r="A126" s="38" t="s">
        <v>69</v>
      </c>
      <c r="B126" s="38">
        <v>86931</v>
      </c>
      <c r="C126" s="12" t="s">
        <v>885</v>
      </c>
      <c r="D126" s="76" t="s">
        <v>77</v>
      </c>
      <c r="E126" s="77">
        <v>1</v>
      </c>
      <c r="F126" s="284">
        <v>373.2</v>
      </c>
      <c r="G126" s="342">
        <f t="shared" ref="G126:G129" si="31">F126*(1+$H$7)</f>
        <v>481.20408000000003</v>
      </c>
      <c r="H126" s="78">
        <f>E126*G126</f>
        <v>481.20408000000003</v>
      </c>
    </row>
    <row r="127" spans="1:8" s="3" customFormat="1" ht="24" x14ac:dyDescent="0.2">
      <c r="A127" s="38" t="s">
        <v>228</v>
      </c>
      <c r="B127" s="38">
        <v>86902</v>
      </c>
      <c r="C127" s="12" t="s">
        <v>886</v>
      </c>
      <c r="D127" s="79" t="s">
        <v>77</v>
      </c>
      <c r="E127" s="77">
        <v>1</v>
      </c>
      <c r="F127" s="284">
        <v>185.84</v>
      </c>
      <c r="G127" s="342">
        <f t="shared" si="31"/>
        <v>239.62209600000003</v>
      </c>
      <c r="H127" s="78">
        <f t="shared" ref="H127:H129" si="32">E127*G127</f>
        <v>239.62209600000003</v>
      </c>
    </row>
    <row r="128" spans="1:8" s="3" customFormat="1" ht="24" x14ac:dyDescent="0.2">
      <c r="A128" s="38" t="s">
        <v>831</v>
      </c>
      <c r="B128" s="38">
        <v>86915</v>
      </c>
      <c r="C128" s="19" t="s">
        <v>887</v>
      </c>
      <c r="D128" s="79" t="s">
        <v>77</v>
      </c>
      <c r="E128" s="80">
        <v>1</v>
      </c>
      <c r="F128" s="285">
        <v>109.01</v>
      </c>
      <c r="G128" s="342">
        <f t="shared" si="31"/>
        <v>140.55749400000002</v>
      </c>
      <c r="H128" s="78">
        <f t="shared" si="32"/>
        <v>140.55749400000002</v>
      </c>
    </row>
    <row r="129" spans="1:8" s="3" customFormat="1" ht="24" x14ac:dyDescent="0.2">
      <c r="A129" s="38" t="s">
        <v>832</v>
      </c>
      <c r="B129" s="38">
        <v>86883</v>
      </c>
      <c r="C129" s="13" t="s">
        <v>888</v>
      </c>
      <c r="D129" s="94" t="s">
        <v>77</v>
      </c>
      <c r="E129" s="80">
        <v>1</v>
      </c>
      <c r="F129" s="287">
        <v>9.8699999999999992</v>
      </c>
      <c r="G129" s="342">
        <f t="shared" si="31"/>
        <v>12.726378</v>
      </c>
      <c r="H129" s="78">
        <f t="shared" si="32"/>
        <v>12.726378</v>
      </c>
    </row>
    <row r="130" spans="1:8" s="3" customFormat="1" ht="12.75" customHeight="1" x14ac:dyDescent="0.2">
      <c r="A130" s="350" t="s">
        <v>70</v>
      </c>
      <c r="B130" s="351"/>
      <c r="C130" s="351"/>
      <c r="D130" s="351"/>
      <c r="E130" s="351"/>
      <c r="F130" s="26"/>
      <c r="G130" s="341"/>
      <c r="H130" s="83">
        <f>SUM(H126:H129)</f>
        <v>874.11004800000001</v>
      </c>
    </row>
    <row r="131" spans="1:8" s="3" customFormat="1" ht="9" customHeight="1" thickBot="1" x14ac:dyDescent="0.25">
      <c r="A131" s="54"/>
      <c r="B131" s="54"/>
      <c r="C131" s="18"/>
      <c r="D131" s="54"/>
      <c r="E131" s="102"/>
      <c r="F131" s="54"/>
      <c r="G131" s="343"/>
      <c r="H131" s="103"/>
    </row>
    <row r="132" spans="1:8" s="3" customFormat="1" ht="13.5" thickBot="1" x14ac:dyDescent="0.25">
      <c r="A132" s="42" t="s">
        <v>71</v>
      </c>
      <c r="B132" s="42"/>
      <c r="C132" s="11" t="s">
        <v>92</v>
      </c>
      <c r="D132" s="74"/>
      <c r="E132" s="74"/>
      <c r="F132" s="74"/>
      <c r="G132" s="337"/>
      <c r="H132" s="75"/>
    </row>
    <row r="133" spans="1:8" s="3" customFormat="1" ht="24" x14ac:dyDescent="0.2">
      <c r="A133" s="38" t="s">
        <v>72</v>
      </c>
      <c r="B133" s="205">
        <v>86876</v>
      </c>
      <c r="C133" s="20" t="s">
        <v>945</v>
      </c>
      <c r="D133" s="79" t="s">
        <v>77</v>
      </c>
      <c r="E133" s="80">
        <v>1</v>
      </c>
      <c r="F133" s="285">
        <v>196.66</v>
      </c>
      <c r="G133" s="342">
        <f t="shared" ref="G133" si="33">F133*(1+$H$7)</f>
        <v>253.57340400000001</v>
      </c>
      <c r="H133" s="87">
        <f t="shared" ref="H133" si="34">E133*G133</f>
        <v>253.57340400000001</v>
      </c>
    </row>
    <row r="134" spans="1:8" s="3" customFormat="1" x14ac:dyDescent="0.2">
      <c r="A134" s="38" t="s">
        <v>73</v>
      </c>
      <c r="B134" s="38">
        <v>9537</v>
      </c>
      <c r="C134" s="21" t="s">
        <v>634</v>
      </c>
      <c r="D134" s="76" t="s">
        <v>18</v>
      </c>
      <c r="E134" s="77">
        <v>47.24</v>
      </c>
      <c r="F134" s="286">
        <v>2.06</v>
      </c>
      <c r="G134" s="342">
        <f>F134*(1+$H$7)</f>
        <v>2.6561640000000004</v>
      </c>
      <c r="H134" s="87">
        <f>E134*G134</f>
        <v>125.47718736000003</v>
      </c>
    </row>
    <row r="135" spans="1:8" s="3" customFormat="1" ht="12.75" customHeight="1" x14ac:dyDescent="0.2">
      <c r="A135" s="350" t="s">
        <v>946</v>
      </c>
      <c r="B135" s="351"/>
      <c r="C135" s="351"/>
      <c r="D135" s="351"/>
      <c r="E135" s="351"/>
      <c r="F135" s="26"/>
      <c r="G135" s="341"/>
      <c r="H135" s="83">
        <f>SUM(H133:H134)</f>
        <v>379.05059136000006</v>
      </c>
    </row>
    <row r="136" spans="1:8" s="3" customFormat="1" ht="9" customHeight="1" x14ac:dyDescent="0.2">
      <c r="A136" s="6"/>
      <c r="B136" s="6"/>
      <c r="C136" s="9"/>
      <c r="D136" s="6"/>
      <c r="E136" s="117"/>
      <c r="F136" s="118"/>
      <c r="G136" s="118"/>
      <c r="H136" s="119"/>
    </row>
    <row r="137" spans="1:8" s="3" customFormat="1" x14ac:dyDescent="0.2">
      <c r="A137" s="317"/>
      <c r="B137" s="318"/>
      <c r="C137" s="107" t="s">
        <v>103</v>
      </c>
      <c r="D137" s="95"/>
      <c r="E137" s="130"/>
      <c r="F137" s="131"/>
      <c r="G137" s="346"/>
      <c r="H137" s="316">
        <f>H16+H20+H32+H40+H45+H50+H58+H72+H65+H80+H98+H109+H123+H130+H135</f>
        <v>50076.767982920006</v>
      </c>
    </row>
    <row r="139" spans="1:8" x14ac:dyDescent="0.2">
      <c r="C139" s="134" t="s">
        <v>797</v>
      </c>
      <c r="F139" s="120"/>
    </row>
    <row r="140" spans="1:8" ht="24" x14ac:dyDescent="0.2">
      <c r="C140" s="282" t="s">
        <v>733</v>
      </c>
    </row>
    <row r="142" spans="1:8" x14ac:dyDescent="0.2">
      <c r="C142" s="349" t="s">
        <v>957</v>
      </c>
      <c r="D142" s="349"/>
      <c r="E142" s="349"/>
      <c r="F142" s="349"/>
      <c r="G142" s="349"/>
      <c r="H142" s="349"/>
    </row>
    <row r="143" spans="1:8" x14ac:dyDescent="0.2">
      <c r="C143" s="134"/>
    </row>
  </sheetData>
  <mergeCells count="21">
    <mergeCell ref="A1:H1"/>
    <mergeCell ref="A2:H2"/>
    <mergeCell ref="A3:H3"/>
    <mergeCell ref="A4:H4"/>
    <mergeCell ref="A45:E45"/>
    <mergeCell ref="F11:H11"/>
    <mergeCell ref="A16:E16"/>
    <mergeCell ref="A20:E20"/>
    <mergeCell ref="A32:E32"/>
    <mergeCell ref="A40:E40"/>
    <mergeCell ref="A50:E50"/>
    <mergeCell ref="A58:E58"/>
    <mergeCell ref="A72:E72"/>
    <mergeCell ref="A98:E98"/>
    <mergeCell ref="A109:E109"/>
    <mergeCell ref="C142:H142"/>
    <mergeCell ref="A65:E65"/>
    <mergeCell ref="A80:E80"/>
    <mergeCell ref="A130:E130"/>
    <mergeCell ref="A123:E123"/>
    <mergeCell ref="A135:E135"/>
  </mergeCells>
  <phoneticPr fontId="2" type="noConversion"/>
  <conditionalFormatting sqref="F130:G130 F16:G16 F32:G32 F40:G40 F123:G123 F109:G110 E110 E12:G12 F98:G98 E85:E87 E89:E93">
    <cfRule type="cellIs" dxfId="14" priority="22" stopIfTrue="1" operator="equal">
      <formula>0</formula>
    </cfRule>
  </conditionalFormatting>
  <conditionalFormatting sqref="E88">
    <cfRule type="cellIs" dxfId="13" priority="14" stopIfTrue="1" operator="equal">
      <formula>0</formula>
    </cfRule>
  </conditionalFormatting>
  <conditionalFormatting sqref="E84">
    <cfRule type="cellIs" dxfId="12" priority="10" stopIfTrue="1" operator="equal">
      <formula>0</formula>
    </cfRule>
  </conditionalFormatting>
  <conditionalFormatting sqref="E95">
    <cfRule type="cellIs" dxfId="11" priority="9" stopIfTrue="1" operator="equal">
      <formula>0</formula>
    </cfRule>
  </conditionalFormatting>
  <conditionalFormatting sqref="E96">
    <cfRule type="cellIs" dxfId="10" priority="8" stopIfTrue="1" operator="equal">
      <formula>0</formula>
    </cfRule>
  </conditionalFormatting>
  <conditionalFormatting sqref="E97">
    <cfRule type="cellIs" dxfId="9" priority="7" stopIfTrue="1" operator="equal">
      <formula>0</formula>
    </cfRule>
  </conditionalFormatting>
  <conditionalFormatting sqref="C37:C38 C29:C31">
    <cfRule type="expression" dxfId="8" priority="23" stopIfTrue="1">
      <formula>#REF!=1</formula>
    </cfRule>
  </conditionalFormatting>
  <conditionalFormatting sqref="E94">
    <cfRule type="cellIs" dxfId="7" priority="1" stopIfTrue="1" operator="equal">
      <formula>0</formula>
    </cfRule>
  </conditionalFormatting>
  <printOptions horizontalCentered="1"/>
  <pageMargins left="0.19685039370078741" right="0.19685039370078741" top="0.47244094488188981" bottom="0.35433070866141736" header="0.31496062992125984" footer="0.27559055118110237"/>
  <pageSetup paperSize="9" scale="75" fitToHeight="10" orientation="portrait" horizontalDpi="1200" verticalDpi="599" r:id="rId1"/>
  <headerFooter alignWithMargins="0"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workbookViewId="0">
      <selection activeCell="F42" sqref="F42"/>
    </sheetView>
  </sheetViews>
  <sheetFormatPr defaultColWidth="9.140625" defaultRowHeight="12.75" x14ac:dyDescent="0.2"/>
  <cols>
    <col min="1" max="1" width="6.42578125" style="48" customWidth="1"/>
    <col min="2" max="2" width="11.140625" style="29" customWidth="1"/>
    <col min="3" max="3" width="62.140625" style="4" customWidth="1"/>
    <col min="4" max="4" width="7" style="48" bestFit="1" customWidth="1"/>
    <col min="5" max="5" width="9.28515625" style="57" customWidth="1"/>
    <col min="6" max="6" width="12.28515625" style="48" customWidth="1"/>
    <col min="7" max="7" width="13.140625" style="48" customWidth="1"/>
    <col min="8" max="8" width="12.28515625" style="58" customWidth="1"/>
    <col min="9" max="9" width="4" style="1" customWidth="1"/>
    <col min="10" max="10" width="8" style="325" customWidth="1"/>
    <col min="11" max="11" width="10.42578125" style="1" customWidth="1"/>
    <col min="12" max="17" width="8" style="1" customWidth="1"/>
    <col min="18" max="16384" width="9.140625" style="1"/>
  </cols>
  <sheetData>
    <row r="1" spans="1:11" ht="17.25" customHeight="1" x14ac:dyDescent="0.2">
      <c r="A1" s="352" t="s">
        <v>798</v>
      </c>
      <c r="B1" s="353"/>
      <c r="C1" s="353"/>
      <c r="D1" s="353"/>
      <c r="E1" s="353"/>
      <c r="F1" s="353"/>
      <c r="G1" s="353"/>
      <c r="H1" s="354"/>
    </row>
    <row r="2" spans="1:11" ht="11.25" customHeight="1" x14ac:dyDescent="0.2">
      <c r="A2" s="362" t="s">
        <v>722</v>
      </c>
      <c r="B2" s="363"/>
      <c r="C2" s="363"/>
      <c r="D2" s="363"/>
      <c r="E2" s="363"/>
      <c r="F2" s="363"/>
      <c r="G2" s="363"/>
      <c r="H2" s="364"/>
    </row>
    <row r="3" spans="1:11" ht="11.25" customHeight="1" x14ac:dyDescent="0.2">
      <c r="A3" s="362" t="s">
        <v>794</v>
      </c>
      <c r="B3" s="363"/>
      <c r="C3" s="363"/>
      <c r="D3" s="363"/>
      <c r="E3" s="363"/>
      <c r="F3" s="363"/>
      <c r="G3" s="363"/>
      <c r="H3" s="364"/>
    </row>
    <row r="4" spans="1:11" ht="11.25" customHeight="1" thickBot="1" x14ac:dyDescent="0.25">
      <c r="A4" s="365" t="s">
        <v>864</v>
      </c>
      <c r="B4" s="366"/>
      <c r="C4" s="366"/>
      <c r="D4" s="366"/>
      <c r="E4" s="366"/>
      <c r="F4" s="366"/>
      <c r="G4" s="366"/>
      <c r="H4" s="367"/>
    </row>
    <row r="5" spans="1:11" ht="7.5" customHeight="1" thickBot="1" x14ac:dyDescent="0.25"/>
    <row r="6" spans="1:11" x14ac:dyDescent="0.2">
      <c r="A6" s="210" t="s">
        <v>897</v>
      </c>
      <c r="B6" s="30"/>
      <c r="C6" s="5"/>
      <c r="D6" s="59"/>
      <c r="E6" s="60"/>
      <c r="F6" s="61" t="s">
        <v>138</v>
      </c>
      <c r="G6" s="283"/>
      <c r="H6" s="62">
        <v>43132</v>
      </c>
    </row>
    <row r="7" spans="1:11" x14ac:dyDescent="0.2">
      <c r="A7" s="211" t="s">
        <v>796</v>
      </c>
      <c r="B7" s="31"/>
      <c r="C7" s="332"/>
      <c r="D7" s="63"/>
      <c r="E7" s="64"/>
      <c r="F7" s="65" t="s">
        <v>109</v>
      </c>
      <c r="G7" s="159"/>
      <c r="H7" s="132">
        <v>0.25</v>
      </c>
    </row>
    <row r="8" spans="1:11" ht="13.5" thickBot="1" x14ac:dyDescent="0.25">
      <c r="A8" s="212" t="s">
        <v>795</v>
      </c>
      <c r="B8" s="32"/>
      <c r="C8" s="7"/>
      <c r="D8" s="66"/>
      <c r="E8" s="67"/>
      <c r="F8" s="68"/>
      <c r="G8" s="66"/>
      <c r="H8" s="69"/>
    </row>
    <row r="9" spans="1:11" ht="9" customHeight="1" thickBot="1" x14ac:dyDescent="0.25"/>
    <row r="10" spans="1:11" ht="13.5" thickBot="1" x14ac:dyDescent="0.25">
      <c r="A10" s="213" t="s">
        <v>3</v>
      </c>
      <c r="B10" s="33"/>
      <c r="C10" s="8"/>
      <c r="D10" s="33"/>
      <c r="E10" s="33"/>
      <c r="F10" s="33"/>
      <c r="G10" s="33"/>
      <c r="H10" s="70"/>
    </row>
    <row r="11" spans="1:11" ht="8.25" customHeight="1" thickBot="1" x14ac:dyDescent="0.25">
      <c r="A11" s="63"/>
      <c r="B11" s="34"/>
      <c r="C11" s="9"/>
      <c r="D11" s="63"/>
      <c r="E11" s="64"/>
      <c r="F11" s="361"/>
      <c r="G11" s="361"/>
      <c r="H11" s="361"/>
    </row>
    <row r="12" spans="1:11" ht="13.5" thickBot="1" x14ac:dyDescent="0.25">
      <c r="A12" s="35" t="s">
        <v>78</v>
      </c>
      <c r="B12" s="35" t="s">
        <v>104</v>
      </c>
      <c r="C12" s="10" t="s">
        <v>79</v>
      </c>
      <c r="D12" s="35" t="s">
        <v>80</v>
      </c>
      <c r="E12" s="71" t="s">
        <v>81</v>
      </c>
      <c r="F12" s="72" t="s">
        <v>136</v>
      </c>
      <c r="G12" s="72" t="s">
        <v>734</v>
      </c>
      <c r="H12" s="73" t="s">
        <v>137</v>
      </c>
      <c r="J12" s="326" t="s">
        <v>801</v>
      </c>
      <c r="K12" s="128"/>
    </row>
    <row r="13" spans="1:11" ht="9" customHeight="1" thickBot="1" x14ac:dyDescent="0.25">
      <c r="J13" s="326"/>
      <c r="K13" s="128"/>
    </row>
    <row r="14" spans="1:11" ht="13.5" thickBot="1" x14ac:dyDescent="0.25">
      <c r="A14" s="42" t="s">
        <v>4</v>
      </c>
      <c r="B14" s="36"/>
      <c r="C14" s="11" t="s">
        <v>82</v>
      </c>
      <c r="D14" s="74"/>
      <c r="E14" s="74"/>
      <c r="F14" s="74"/>
      <c r="G14" s="74"/>
      <c r="H14" s="75"/>
    </row>
    <row r="15" spans="1:11" x14ac:dyDescent="0.2">
      <c r="A15" s="37" t="s">
        <v>6</v>
      </c>
      <c r="B15" s="38" t="s">
        <v>759</v>
      </c>
      <c r="C15" s="13" t="s">
        <v>760</v>
      </c>
      <c r="D15" s="79" t="s">
        <v>18</v>
      </c>
      <c r="E15" s="80">
        <v>1</v>
      </c>
      <c r="F15" s="285">
        <v>309.89</v>
      </c>
      <c r="G15" s="309">
        <f>F15*(1+$H$7)</f>
        <v>387.36249999999995</v>
      </c>
      <c r="H15" s="78">
        <f>E15*G15</f>
        <v>387.36249999999995</v>
      </c>
      <c r="I15" s="28" t="s">
        <v>799</v>
      </c>
      <c r="J15" s="327" t="s">
        <v>802</v>
      </c>
    </row>
    <row r="16" spans="1:11" s="2" customFormat="1" ht="24" x14ac:dyDescent="0.2">
      <c r="A16" s="37" t="s">
        <v>7</v>
      </c>
      <c r="B16" s="38">
        <v>93584</v>
      </c>
      <c r="C16" s="13" t="s">
        <v>865</v>
      </c>
      <c r="D16" s="79" t="s">
        <v>18</v>
      </c>
      <c r="E16" s="80">
        <v>6</v>
      </c>
      <c r="F16" s="285">
        <v>373.63</v>
      </c>
      <c r="G16" s="309">
        <f>F16*(1+$H$7)</f>
        <v>467.03750000000002</v>
      </c>
      <c r="H16" s="78">
        <f>E16*G16</f>
        <v>2802.2250000000004</v>
      </c>
      <c r="I16" s="27" t="s">
        <v>820</v>
      </c>
      <c r="J16" s="330" t="s">
        <v>803</v>
      </c>
    </row>
    <row r="17" spans="1:14" s="2" customFormat="1" ht="27" customHeight="1" x14ac:dyDescent="0.2">
      <c r="A17" s="37" t="s">
        <v>8</v>
      </c>
      <c r="B17" s="38" t="s">
        <v>866</v>
      </c>
      <c r="C17" s="13" t="s">
        <v>867</v>
      </c>
      <c r="D17" s="79" t="s">
        <v>5</v>
      </c>
      <c r="E17" s="80">
        <v>403</v>
      </c>
      <c r="F17" s="285">
        <v>3.62</v>
      </c>
      <c r="G17" s="309">
        <f>F17*(1+$H$7)</f>
        <v>4.5250000000000004</v>
      </c>
      <c r="H17" s="78">
        <f>E17*G17</f>
        <v>1823.575</v>
      </c>
      <c r="I17" s="27" t="s">
        <v>799</v>
      </c>
      <c r="J17" s="328">
        <v>302.25</v>
      </c>
      <c r="K17" s="27" t="s">
        <v>140</v>
      </c>
    </row>
    <row r="18" spans="1:14" ht="12.75" customHeight="1" x14ac:dyDescent="0.2">
      <c r="A18" s="350" t="s">
        <v>10</v>
      </c>
      <c r="B18" s="351"/>
      <c r="C18" s="351"/>
      <c r="D18" s="351"/>
      <c r="E18" s="351"/>
      <c r="F18" s="82"/>
      <c r="G18" s="310"/>
      <c r="H18" s="83">
        <f>SUM(H15:H17)</f>
        <v>5013.1625000000004</v>
      </c>
      <c r="I18" s="28"/>
    </row>
    <row r="19" spans="1:14" ht="9" customHeight="1" thickBot="1" x14ac:dyDescent="0.25">
      <c r="F19" s="84"/>
      <c r="G19" s="311"/>
    </row>
    <row r="20" spans="1:14" ht="13.5" thickBot="1" x14ac:dyDescent="0.25">
      <c r="A20" s="42" t="s">
        <v>12</v>
      </c>
      <c r="B20" s="36"/>
      <c r="C20" s="11" t="s">
        <v>697</v>
      </c>
      <c r="D20" s="74"/>
      <c r="E20" s="74"/>
      <c r="F20" s="74"/>
      <c r="G20" s="308"/>
      <c r="H20" s="75"/>
    </row>
    <row r="21" spans="1:14" ht="24" x14ac:dyDescent="0.2">
      <c r="A21" s="49" t="s">
        <v>13</v>
      </c>
      <c r="B21" s="40">
        <v>96385</v>
      </c>
      <c r="C21" s="13" t="s">
        <v>806</v>
      </c>
      <c r="D21" s="94" t="s">
        <v>11</v>
      </c>
      <c r="E21" s="88">
        <v>72.95</v>
      </c>
      <c r="F21" s="285">
        <v>0</v>
      </c>
      <c r="G21" s="309">
        <f>F21*(1+$H$7)</f>
        <v>0</v>
      </c>
      <c r="H21" s="87">
        <f>E21*G21</f>
        <v>0</v>
      </c>
      <c r="I21" s="28" t="s">
        <v>799</v>
      </c>
      <c r="J21" s="327" t="s">
        <v>805</v>
      </c>
      <c r="K21" s="28"/>
      <c r="L21" s="1">
        <f>14.7*19.85*0.25</f>
        <v>72.948750000000004</v>
      </c>
      <c r="M21" s="28" t="s">
        <v>140</v>
      </c>
      <c r="N21" s="331">
        <v>5.15</v>
      </c>
    </row>
    <row r="22" spans="1:14" ht="12.75" customHeight="1" x14ac:dyDescent="0.2">
      <c r="A22" s="350" t="s">
        <v>19</v>
      </c>
      <c r="B22" s="351"/>
      <c r="C22" s="351"/>
      <c r="D22" s="351"/>
      <c r="E22" s="351"/>
      <c r="F22" s="26"/>
      <c r="G22" s="306"/>
      <c r="H22" s="83">
        <f>SUM(H21:H21)</f>
        <v>0</v>
      </c>
      <c r="I22" s="28"/>
    </row>
    <row r="23" spans="1:14" ht="9" customHeight="1" thickBot="1" x14ac:dyDescent="0.25">
      <c r="G23" s="312"/>
    </row>
    <row r="24" spans="1:14" ht="13.5" thickBot="1" x14ac:dyDescent="0.25">
      <c r="A24" s="42" t="s">
        <v>17</v>
      </c>
      <c r="B24" s="36"/>
      <c r="C24" s="11" t="s">
        <v>83</v>
      </c>
      <c r="D24" s="74"/>
      <c r="E24" s="74"/>
      <c r="F24" s="74"/>
      <c r="G24" s="308"/>
      <c r="H24" s="75"/>
    </row>
    <row r="25" spans="1:14" ht="25.5" customHeight="1" x14ac:dyDescent="0.2">
      <c r="A25" s="38" t="s">
        <v>21</v>
      </c>
      <c r="B25" s="39">
        <v>90886</v>
      </c>
      <c r="C25" s="12" t="s">
        <v>800</v>
      </c>
      <c r="D25" s="85" t="s">
        <v>47</v>
      </c>
      <c r="E25" s="86">
        <v>24</v>
      </c>
      <c r="F25" s="284">
        <v>131.53</v>
      </c>
      <c r="G25" s="309">
        <f t="shared" ref="G25:G26" si="0">F25*(1+$H$7)</f>
        <v>164.41249999999999</v>
      </c>
      <c r="H25" s="92">
        <f>E25*G25</f>
        <v>3945.8999999999996</v>
      </c>
      <c r="I25" s="28" t="s">
        <v>799</v>
      </c>
      <c r="J25" s="327" t="s">
        <v>804</v>
      </c>
      <c r="K25" s="28"/>
      <c r="L25" s="1">
        <f>16*1.5</f>
        <v>24</v>
      </c>
      <c r="M25" s="28" t="s">
        <v>47</v>
      </c>
      <c r="N25" s="28"/>
    </row>
    <row r="26" spans="1:14" ht="24" x14ac:dyDescent="0.2">
      <c r="A26" s="38" t="s">
        <v>23</v>
      </c>
      <c r="B26" s="40">
        <v>83534</v>
      </c>
      <c r="C26" s="13" t="s">
        <v>807</v>
      </c>
      <c r="D26" s="85" t="s">
        <v>11</v>
      </c>
      <c r="E26" s="88">
        <v>6.55</v>
      </c>
      <c r="F26" s="285">
        <v>460.36</v>
      </c>
      <c r="G26" s="309">
        <f t="shared" si="0"/>
        <v>575.45000000000005</v>
      </c>
      <c r="H26" s="92">
        <f t="shared" ref="H26" si="1">E26*G26</f>
        <v>3769.1975000000002</v>
      </c>
      <c r="I26" s="28" t="s">
        <v>799</v>
      </c>
      <c r="J26" s="325">
        <f>16*3.14*(0.3^2)*1.7-16*0.23*0.31</f>
        <v>6.5459200000000006</v>
      </c>
    </row>
    <row r="27" spans="1:14" ht="12.75" customHeight="1" x14ac:dyDescent="0.2">
      <c r="A27" s="350" t="s">
        <v>20</v>
      </c>
      <c r="B27" s="351"/>
      <c r="C27" s="351"/>
      <c r="D27" s="351"/>
      <c r="E27" s="351"/>
      <c r="F27" s="26"/>
      <c r="G27" s="306"/>
      <c r="H27" s="96">
        <f>SUM(H25:H26)</f>
        <v>7715.0974999999999</v>
      </c>
      <c r="I27" s="28"/>
    </row>
    <row r="28" spans="1:14" ht="9" customHeight="1" thickBot="1" x14ac:dyDescent="0.25">
      <c r="G28" s="312"/>
    </row>
    <row r="29" spans="1:14" ht="13.5" thickBot="1" x14ac:dyDescent="0.25">
      <c r="A29" s="42" t="s">
        <v>27</v>
      </c>
      <c r="B29" s="42"/>
      <c r="C29" s="11" t="s">
        <v>84</v>
      </c>
      <c r="D29" s="74"/>
      <c r="E29" s="74"/>
      <c r="F29" s="74"/>
      <c r="G29" s="308"/>
      <c r="H29" s="75"/>
    </row>
    <row r="30" spans="1:14" ht="24" x14ac:dyDescent="0.2">
      <c r="A30" s="38" t="s">
        <v>28</v>
      </c>
      <c r="B30" s="38" t="s">
        <v>666</v>
      </c>
      <c r="C30" s="14" t="s">
        <v>808</v>
      </c>
      <c r="D30" s="79" t="s">
        <v>810</v>
      </c>
      <c r="E30" s="80">
        <v>10</v>
      </c>
      <c r="F30" s="285">
        <v>1050</v>
      </c>
      <c r="G30" s="305">
        <f t="shared" ref="G30:G35" si="2">F30*(1+$H$7)</f>
        <v>1312.5</v>
      </c>
      <c r="H30" s="93">
        <f t="shared" ref="H30:H35" si="3">E30*G30</f>
        <v>13125</v>
      </c>
      <c r="I30" s="28" t="s">
        <v>799</v>
      </c>
      <c r="J30" s="325">
        <v>10</v>
      </c>
      <c r="K30" s="28" t="s">
        <v>809</v>
      </c>
    </row>
    <row r="31" spans="1:14" ht="24" x14ac:dyDescent="0.2">
      <c r="A31" s="38" t="s">
        <v>29</v>
      </c>
      <c r="B31" s="38" t="s">
        <v>666</v>
      </c>
      <c r="C31" s="14" t="s">
        <v>889</v>
      </c>
      <c r="D31" s="79" t="s">
        <v>810</v>
      </c>
      <c r="E31" s="80">
        <v>4</v>
      </c>
      <c r="F31" s="285">
        <v>1150</v>
      </c>
      <c r="G31" s="309">
        <f t="shared" si="2"/>
        <v>1437.5</v>
      </c>
      <c r="H31" s="93">
        <f t="shared" si="3"/>
        <v>5750</v>
      </c>
      <c r="I31" s="28" t="s">
        <v>799</v>
      </c>
      <c r="J31" s="327">
        <v>4</v>
      </c>
      <c r="K31" s="28" t="s">
        <v>809</v>
      </c>
    </row>
    <row r="32" spans="1:14" ht="24" x14ac:dyDescent="0.2">
      <c r="A32" s="38" t="s">
        <v>30</v>
      </c>
      <c r="B32" s="38" t="s">
        <v>666</v>
      </c>
      <c r="C32" s="14" t="s">
        <v>899</v>
      </c>
      <c r="D32" s="79" t="s">
        <v>810</v>
      </c>
      <c r="E32" s="80">
        <v>2</v>
      </c>
      <c r="F32" s="285">
        <v>1320</v>
      </c>
      <c r="G32" s="309">
        <f t="shared" ref="G32" si="4">F32*(1+$H$7)</f>
        <v>1650</v>
      </c>
      <c r="H32" s="93">
        <f t="shared" si="3"/>
        <v>3300</v>
      </c>
      <c r="I32" s="28"/>
      <c r="J32" s="327"/>
      <c r="K32" s="28"/>
    </row>
    <row r="33" spans="1:12" ht="24" x14ac:dyDescent="0.2">
      <c r="A33" s="38" t="s">
        <v>152</v>
      </c>
      <c r="B33" s="38" t="s">
        <v>666</v>
      </c>
      <c r="C33" s="14" t="s">
        <v>812</v>
      </c>
      <c r="D33" s="79" t="s">
        <v>47</v>
      </c>
      <c r="E33" s="80">
        <v>80</v>
      </c>
      <c r="F33" s="285">
        <v>105</v>
      </c>
      <c r="G33" s="309">
        <f t="shared" si="2"/>
        <v>131.25</v>
      </c>
      <c r="H33" s="93">
        <f t="shared" si="3"/>
        <v>10500</v>
      </c>
      <c r="I33" s="28" t="s">
        <v>799</v>
      </c>
      <c r="J33" s="327">
        <f>20+20+20+20</f>
        <v>80</v>
      </c>
      <c r="K33" s="28" t="s">
        <v>811</v>
      </c>
    </row>
    <row r="34" spans="1:12" ht="24" x14ac:dyDescent="0.2">
      <c r="A34" s="38" t="s">
        <v>817</v>
      </c>
      <c r="B34" s="38" t="s">
        <v>666</v>
      </c>
      <c r="C34" s="14" t="s">
        <v>813</v>
      </c>
      <c r="D34" s="79" t="s">
        <v>47</v>
      </c>
      <c r="E34" s="80">
        <v>90</v>
      </c>
      <c r="F34" s="285">
        <v>100</v>
      </c>
      <c r="G34" s="309">
        <f t="shared" si="2"/>
        <v>125</v>
      </c>
      <c r="H34" s="93">
        <f t="shared" si="3"/>
        <v>11250</v>
      </c>
      <c r="I34" s="28" t="s">
        <v>799</v>
      </c>
      <c r="J34" s="327">
        <f>20+20+20+20+10</f>
        <v>90</v>
      </c>
      <c r="K34" s="28" t="s">
        <v>811</v>
      </c>
      <c r="L34" s="28" t="s">
        <v>872</v>
      </c>
    </row>
    <row r="35" spans="1:12" x14ac:dyDescent="0.2">
      <c r="A35" s="38" t="s">
        <v>898</v>
      </c>
      <c r="B35" s="38" t="s">
        <v>666</v>
      </c>
      <c r="C35" s="15" t="s">
        <v>814</v>
      </c>
      <c r="D35" s="104" t="s">
        <v>815</v>
      </c>
      <c r="E35" s="112">
        <v>3</v>
      </c>
      <c r="F35" s="288">
        <v>400</v>
      </c>
      <c r="G35" s="309">
        <f t="shared" si="2"/>
        <v>500</v>
      </c>
      <c r="H35" s="93">
        <f t="shared" si="3"/>
        <v>1500</v>
      </c>
      <c r="I35" s="28" t="s">
        <v>799</v>
      </c>
    </row>
    <row r="36" spans="1:12" ht="12.75" customHeight="1" x14ac:dyDescent="0.2">
      <c r="A36" s="350" t="s">
        <v>32</v>
      </c>
      <c r="B36" s="351"/>
      <c r="C36" s="351"/>
      <c r="D36" s="351"/>
      <c r="E36" s="351"/>
      <c r="F36" s="26"/>
      <c r="G36" s="306"/>
      <c r="H36" s="83">
        <f>SUM(H30:H35)</f>
        <v>45425</v>
      </c>
      <c r="I36" s="28"/>
    </row>
    <row r="37" spans="1:12" ht="9" customHeight="1" thickBot="1" x14ac:dyDescent="0.25">
      <c r="G37" s="312"/>
    </row>
    <row r="38" spans="1:12" ht="13.5" thickBot="1" x14ac:dyDescent="0.25">
      <c r="A38" s="42" t="s">
        <v>33</v>
      </c>
      <c r="B38" s="42"/>
      <c r="C38" s="11" t="s">
        <v>816</v>
      </c>
      <c r="D38" s="74"/>
      <c r="E38" s="74"/>
      <c r="F38" s="74"/>
      <c r="G38" s="308"/>
      <c r="H38" s="75"/>
    </row>
    <row r="39" spans="1:12" ht="24" x14ac:dyDescent="0.2">
      <c r="A39" s="44" t="s">
        <v>34</v>
      </c>
      <c r="B39" s="44" t="s">
        <v>666</v>
      </c>
      <c r="C39" s="14" t="s">
        <v>890</v>
      </c>
      <c r="D39" s="85" t="s">
        <v>102</v>
      </c>
      <c r="E39" s="86">
        <v>5</v>
      </c>
      <c r="F39" s="285">
        <v>2280</v>
      </c>
      <c r="G39" s="309">
        <f>F39*(1+$H$7)</f>
        <v>2850</v>
      </c>
      <c r="H39" s="89">
        <f>E39*G39</f>
        <v>14250</v>
      </c>
      <c r="I39" s="28" t="s">
        <v>799</v>
      </c>
    </row>
    <row r="40" spans="1:12" ht="43.5" customHeight="1" x14ac:dyDescent="0.2">
      <c r="A40" s="40" t="s">
        <v>382</v>
      </c>
      <c r="B40" s="40">
        <v>92543</v>
      </c>
      <c r="C40" s="13" t="s">
        <v>868</v>
      </c>
      <c r="D40" s="79" t="s">
        <v>18</v>
      </c>
      <c r="E40" s="100">
        <v>452.62</v>
      </c>
      <c r="F40" s="285">
        <v>10.72</v>
      </c>
      <c r="G40" s="305">
        <f>F40*(1+$H$7)</f>
        <v>13.4</v>
      </c>
      <c r="H40" s="81">
        <f>E40*G40</f>
        <v>6065.1080000000002</v>
      </c>
      <c r="I40" s="28" t="s">
        <v>799</v>
      </c>
      <c r="J40" s="327">
        <f>(20+1.2)*(20.15+1.2)</f>
        <v>452.61999999999995</v>
      </c>
      <c r="K40" s="28" t="s">
        <v>140</v>
      </c>
    </row>
    <row r="41" spans="1:12" ht="24" x14ac:dyDescent="0.2">
      <c r="A41" s="40" t="s">
        <v>818</v>
      </c>
      <c r="B41" s="40">
        <v>94213</v>
      </c>
      <c r="C41" s="13" t="s">
        <v>869</v>
      </c>
      <c r="D41" s="79" t="s">
        <v>18</v>
      </c>
      <c r="E41" s="100">
        <v>452.62</v>
      </c>
      <c r="F41" s="285">
        <v>35.99</v>
      </c>
      <c r="G41" s="309">
        <f>F41*(1+$H$7)</f>
        <v>44.987500000000004</v>
      </c>
      <c r="H41" s="81">
        <f>E41*G41</f>
        <v>20362.242250000003</v>
      </c>
      <c r="I41" s="28" t="s">
        <v>799</v>
      </c>
      <c r="J41" s="327"/>
    </row>
    <row r="42" spans="1:12" x14ac:dyDescent="0.2">
      <c r="A42" s="40" t="s">
        <v>819</v>
      </c>
      <c r="B42" s="38" t="s">
        <v>666</v>
      </c>
      <c r="C42" s="15" t="s">
        <v>814</v>
      </c>
      <c r="D42" s="104" t="s">
        <v>815</v>
      </c>
      <c r="E42" s="112">
        <v>1</v>
      </c>
      <c r="F42" s="288">
        <v>400</v>
      </c>
      <c r="G42" s="309">
        <f t="shared" ref="G42" si="5">F42*(1+$H$7)</f>
        <v>500</v>
      </c>
      <c r="H42" s="93">
        <f>E42*G42</f>
        <v>500</v>
      </c>
      <c r="I42" s="28" t="s">
        <v>799</v>
      </c>
      <c r="J42" s="327"/>
      <c r="L42" s="28"/>
    </row>
    <row r="43" spans="1:12" ht="12.75" customHeight="1" x14ac:dyDescent="0.2">
      <c r="A43" s="350" t="s">
        <v>35</v>
      </c>
      <c r="B43" s="351"/>
      <c r="C43" s="351"/>
      <c r="D43" s="351"/>
      <c r="E43" s="351"/>
      <c r="F43" s="26"/>
      <c r="G43" s="306"/>
      <c r="H43" s="83">
        <f>SUM(H39:H42)</f>
        <v>41177.350250000003</v>
      </c>
      <c r="I43" s="28"/>
    </row>
    <row r="44" spans="1:12" ht="9" customHeight="1" thickBot="1" x14ac:dyDescent="0.25">
      <c r="A44" s="54"/>
      <c r="B44" s="43"/>
      <c r="C44" s="18"/>
      <c r="D44" s="54"/>
      <c r="E44" s="102"/>
      <c r="F44" s="54"/>
      <c r="G44" s="315"/>
      <c r="H44" s="103"/>
    </row>
    <row r="45" spans="1:12" ht="13.5" thickBot="1" x14ac:dyDescent="0.25">
      <c r="A45" s="42" t="s">
        <v>36</v>
      </c>
      <c r="B45" s="42"/>
      <c r="C45" s="11" t="s">
        <v>701</v>
      </c>
      <c r="D45" s="74"/>
      <c r="E45" s="74"/>
      <c r="F45" s="74"/>
      <c r="G45" s="308"/>
      <c r="H45" s="75"/>
    </row>
    <row r="46" spans="1:12" ht="24" x14ac:dyDescent="0.2">
      <c r="A46" s="44" t="s">
        <v>37</v>
      </c>
      <c r="B46" s="44">
        <v>83742</v>
      </c>
      <c r="C46" s="13" t="s">
        <v>870</v>
      </c>
      <c r="D46" s="85" t="s">
        <v>18</v>
      </c>
      <c r="E46" s="86">
        <v>44</v>
      </c>
      <c r="F46" s="285">
        <v>20.37</v>
      </c>
      <c r="G46" s="309">
        <f>F46*(1+$H$7)</f>
        <v>25.462500000000002</v>
      </c>
      <c r="H46" s="89">
        <f>E46*G46</f>
        <v>1120.3500000000001</v>
      </c>
      <c r="I46" s="28" t="s">
        <v>799</v>
      </c>
      <c r="J46" s="325">
        <f>80*(0.15+0.4)</f>
        <v>44</v>
      </c>
      <c r="K46" s="28" t="s">
        <v>140</v>
      </c>
    </row>
    <row r="47" spans="1:12" ht="40.5" customHeight="1" x14ac:dyDescent="0.2">
      <c r="A47" s="40" t="s">
        <v>40</v>
      </c>
      <c r="B47" s="40">
        <v>87491</v>
      </c>
      <c r="C47" s="13" t="s">
        <v>871</v>
      </c>
      <c r="D47" s="79" t="s">
        <v>18</v>
      </c>
      <c r="E47" s="100">
        <v>313.18</v>
      </c>
      <c r="F47" s="285">
        <v>47.76</v>
      </c>
      <c r="G47" s="309">
        <f>F47*(1+$H$7)</f>
        <v>59.699999999999996</v>
      </c>
      <c r="H47" s="81">
        <f>E47*G47</f>
        <v>18696.845999999998</v>
      </c>
      <c r="I47" s="28" t="s">
        <v>799</v>
      </c>
      <c r="J47" s="325">
        <f>(16*4.7*4.7)-(8*2.5*1.2)-(2*4.7*3.5)+2*(4.7*0.9)+(2.6*1.85*1.7)</f>
        <v>313.17700000000008</v>
      </c>
      <c r="K47" s="28" t="s">
        <v>140</v>
      </c>
    </row>
    <row r="48" spans="1:12" ht="12.75" customHeight="1" x14ac:dyDescent="0.2">
      <c r="A48" s="350" t="s">
        <v>42</v>
      </c>
      <c r="B48" s="351"/>
      <c r="C48" s="351"/>
      <c r="D48" s="351"/>
      <c r="E48" s="351"/>
      <c r="F48" s="26"/>
      <c r="G48" s="306"/>
      <c r="H48" s="83">
        <f>SUM(H46:H47)</f>
        <v>19817.195999999996</v>
      </c>
      <c r="I48" s="28"/>
    </row>
    <row r="49" spans="1:12" ht="9" customHeight="1" thickBot="1" x14ac:dyDescent="0.25">
      <c r="G49" s="312"/>
    </row>
    <row r="50" spans="1:12" ht="13.5" thickBot="1" x14ac:dyDescent="0.25">
      <c r="A50" s="42" t="s">
        <v>43</v>
      </c>
      <c r="B50" s="42"/>
      <c r="C50" s="11" t="s">
        <v>85</v>
      </c>
      <c r="D50" s="74"/>
      <c r="E50" s="74"/>
      <c r="F50" s="74"/>
      <c r="G50" s="308"/>
      <c r="H50" s="75"/>
    </row>
    <row r="51" spans="1:12" x14ac:dyDescent="0.2">
      <c r="A51" s="37" t="s">
        <v>44</v>
      </c>
      <c r="B51" s="186">
        <v>68054</v>
      </c>
      <c r="C51" s="185" t="s">
        <v>821</v>
      </c>
      <c r="D51" s="79" t="s">
        <v>18</v>
      </c>
      <c r="E51" s="88">
        <v>32.729999999999997</v>
      </c>
      <c r="F51" s="285">
        <v>190.66</v>
      </c>
      <c r="G51" s="309">
        <f>F51*(1+$H$7)</f>
        <v>238.32499999999999</v>
      </c>
      <c r="H51" s="89">
        <f>E51*G51</f>
        <v>7800.3772499999986</v>
      </c>
      <c r="I51" s="28" t="s">
        <v>799</v>
      </c>
      <c r="J51" s="327">
        <f>4.75*3.5+4.6*3.5</f>
        <v>32.724999999999994</v>
      </c>
    </row>
    <row r="52" spans="1:12" ht="24" x14ac:dyDescent="0.2">
      <c r="A52" s="40" t="s">
        <v>45</v>
      </c>
      <c r="B52" s="40">
        <v>94559</v>
      </c>
      <c r="C52" s="13" t="s">
        <v>822</v>
      </c>
      <c r="D52" s="79" t="s">
        <v>18</v>
      </c>
      <c r="E52" s="88">
        <v>24</v>
      </c>
      <c r="F52" s="285">
        <v>446.29</v>
      </c>
      <c r="G52" s="309">
        <f>F52*(1+$H$7)</f>
        <v>557.86250000000007</v>
      </c>
      <c r="H52" s="89">
        <f>E52*G52</f>
        <v>13388.7</v>
      </c>
      <c r="I52" s="28" t="s">
        <v>799</v>
      </c>
      <c r="J52" s="325">
        <f>8*2.5*1.2</f>
        <v>24</v>
      </c>
    </row>
    <row r="53" spans="1:12" x14ac:dyDescent="0.2">
      <c r="A53" s="40" t="s">
        <v>46</v>
      </c>
      <c r="B53" s="40">
        <v>72117</v>
      </c>
      <c r="C53" s="12" t="s">
        <v>823</v>
      </c>
      <c r="D53" s="76" t="s">
        <v>18</v>
      </c>
      <c r="E53" s="86">
        <v>24</v>
      </c>
      <c r="F53" s="284">
        <v>93.56</v>
      </c>
      <c r="G53" s="309">
        <f>F53*(1+$H$7)</f>
        <v>116.95</v>
      </c>
      <c r="H53" s="87">
        <f>E53*G53</f>
        <v>2806.8</v>
      </c>
      <c r="I53" s="28" t="s">
        <v>799</v>
      </c>
    </row>
    <row r="54" spans="1:12" ht="36" x14ac:dyDescent="0.2">
      <c r="A54" s="40" t="s">
        <v>896</v>
      </c>
      <c r="B54" s="40">
        <v>90823</v>
      </c>
      <c r="C54" s="12" t="s">
        <v>876</v>
      </c>
      <c r="D54" s="76" t="s">
        <v>77</v>
      </c>
      <c r="E54" s="86">
        <v>1</v>
      </c>
      <c r="F54" s="284">
        <v>374.5</v>
      </c>
      <c r="G54" s="309">
        <f>F54*(1+$H$7)</f>
        <v>468.125</v>
      </c>
      <c r="H54" s="87">
        <f>E54*G54</f>
        <v>468.125</v>
      </c>
      <c r="I54" s="28" t="s">
        <v>799</v>
      </c>
    </row>
    <row r="55" spans="1:12" ht="12.75" customHeight="1" x14ac:dyDescent="0.2">
      <c r="A55" s="350" t="s">
        <v>636</v>
      </c>
      <c r="B55" s="351"/>
      <c r="C55" s="351"/>
      <c r="D55" s="351"/>
      <c r="E55" s="351"/>
      <c r="F55" s="26"/>
      <c r="G55" s="306"/>
      <c r="H55" s="83">
        <f>SUM(H51:H54)</f>
        <v>24464.002249999998</v>
      </c>
      <c r="I55" s="28"/>
    </row>
    <row r="56" spans="1:12" ht="9" customHeight="1" thickBot="1" x14ac:dyDescent="0.25">
      <c r="G56" s="312"/>
    </row>
    <row r="57" spans="1:12" ht="13.5" thickBot="1" x14ac:dyDescent="0.25">
      <c r="A57" s="42" t="s">
        <v>48</v>
      </c>
      <c r="B57" s="42"/>
      <c r="C57" s="11" t="s">
        <v>86</v>
      </c>
      <c r="D57" s="74"/>
      <c r="E57" s="74"/>
      <c r="F57" s="74"/>
      <c r="G57" s="308"/>
      <c r="H57" s="75"/>
    </row>
    <row r="58" spans="1:12" ht="36" x14ac:dyDescent="0.2">
      <c r="A58" s="39" t="s">
        <v>49</v>
      </c>
      <c r="B58" s="39">
        <v>96396</v>
      </c>
      <c r="C58" s="12" t="s">
        <v>873</v>
      </c>
      <c r="D58" s="85" t="s">
        <v>11</v>
      </c>
      <c r="E58" s="86">
        <v>39.1</v>
      </c>
      <c r="F58" s="284">
        <v>81.36</v>
      </c>
      <c r="G58" s="305">
        <f t="shared" ref="G58:G60" si="6">F58*(1+$H$7)</f>
        <v>101.7</v>
      </c>
      <c r="H58" s="87">
        <f>E58*G58</f>
        <v>3976.4700000000003</v>
      </c>
      <c r="I58" s="28" t="s">
        <v>799</v>
      </c>
      <c r="J58" s="327">
        <f>(19.7*19.85)*0.1</f>
        <v>39.104500000000002</v>
      </c>
      <c r="K58" s="28" t="s">
        <v>826</v>
      </c>
      <c r="L58" s="28" t="s">
        <v>825</v>
      </c>
    </row>
    <row r="59" spans="1:12" ht="24" x14ac:dyDescent="0.2">
      <c r="A59" s="39" t="s">
        <v>50</v>
      </c>
      <c r="B59" s="40">
        <v>72183</v>
      </c>
      <c r="C59" s="13" t="s">
        <v>874</v>
      </c>
      <c r="D59" s="79" t="s">
        <v>18</v>
      </c>
      <c r="E59" s="88">
        <v>402</v>
      </c>
      <c r="F59" s="285">
        <v>71.87</v>
      </c>
      <c r="G59" s="305">
        <f t="shared" si="6"/>
        <v>89.837500000000006</v>
      </c>
      <c r="H59" s="87">
        <f t="shared" ref="H59:H60" si="7">E59*G59</f>
        <v>36114.675000000003</v>
      </c>
      <c r="I59" s="28" t="s">
        <v>799</v>
      </c>
      <c r="J59" s="327">
        <f>(20*20.15)-(16*0.25*0.25)</f>
        <v>402</v>
      </c>
      <c r="K59" s="28" t="s">
        <v>827</v>
      </c>
    </row>
    <row r="60" spans="1:12" x14ac:dyDescent="0.2">
      <c r="A60" s="39" t="s">
        <v>824</v>
      </c>
      <c r="B60" s="40" t="s">
        <v>666</v>
      </c>
      <c r="C60" s="13" t="s">
        <v>828</v>
      </c>
      <c r="D60" s="79" t="s">
        <v>18</v>
      </c>
      <c r="E60" s="88">
        <v>402</v>
      </c>
      <c r="F60" s="285">
        <v>12</v>
      </c>
      <c r="G60" s="305">
        <f t="shared" si="6"/>
        <v>15</v>
      </c>
      <c r="H60" s="87">
        <f t="shared" si="7"/>
        <v>6030</v>
      </c>
      <c r="I60" s="28" t="s">
        <v>799</v>
      </c>
      <c r="J60" s="327"/>
      <c r="K60" s="28"/>
    </row>
    <row r="61" spans="1:12" ht="12.75" customHeight="1" x14ac:dyDescent="0.2">
      <c r="A61" s="350" t="s">
        <v>58</v>
      </c>
      <c r="B61" s="351"/>
      <c r="C61" s="351"/>
      <c r="D61" s="351"/>
      <c r="E61" s="351"/>
      <c r="F61" s="26"/>
      <c r="G61" s="306"/>
      <c r="H61" s="83">
        <f>SUM(H58:H60)</f>
        <v>46121.145000000004</v>
      </c>
      <c r="I61" s="28"/>
    </row>
    <row r="62" spans="1:12" ht="9" customHeight="1" thickBot="1" x14ac:dyDescent="0.25">
      <c r="G62" s="312"/>
    </row>
    <row r="63" spans="1:12" ht="13.5" thickBot="1" x14ac:dyDescent="0.25">
      <c r="A63" s="42" t="s">
        <v>52</v>
      </c>
      <c r="B63" s="42"/>
      <c r="C63" s="11" t="s">
        <v>145</v>
      </c>
      <c r="D63" s="74"/>
      <c r="E63" s="74"/>
      <c r="F63" s="74"/>
      <c r="G63" s="308"/>
      <c r="H63" s="75"/>
    </row>
    <row r="64" spans="1:12" x14ac:dyDescent="0.2">
      <c r="A64" s="45" t="s">
        <v>53</v>
      </c>
      <c r="B64" s="121"/>
      <c r="C64" s="122" t="s">
        <v>146</v>
      </c>
      <c r="D64" s="123"/>
      <c r="E64" s="113"/>
      <c r="F64" s="113"/>
      <c r="G64" s="314"/>
      <c r="H64" s="124"/>
    </row>
    <row r="65" spans="1:10" ht="36" x14ac:dyDescent="0.2">
      <c r="A65" s="40" t="s">
        <v>891</v>
      </c>
      <c r="B65" s="40">
        <v>87879</v>
      </c>
      <c r="C65" s="13" t="s">
        <v>875</v>
      </c>
      <c r="D65" s="94" t="s">
        <v>18</v>
      </c>
      <c r="E65" s="125">
        <v>8.4499999999999993</v>
      </c>
      <c r="F65" s="285">
        <v>2.67</v>
      </c>
      <c r="G65" s="305">
        <f t="shared" ref="G65:G66" si="8">F65*(1+$H$7)</f>
        <v>3.3374999999999999</v>
      </c>
      <c r="H65" s="89">
        <f t="shared" ref="H65:H66" si="9">E65*G65</f>
        <v>28.201874999999998</v>
      </c>
      <c r="I65" s="28" t="s">
        <v>799</v>
      </c>
      <c r="J65" s="327">
        <f>(1.7+1.55)*2.6</f>
        <v>8.4500000000000011</v>
      </c>
    </row>
    <row r="66" spans="1:10" ht="39.75" customHeight="1" x14ac:dyDescent="0.2">
      <c r="A66" s="40" t="s">
        <v>892</v>
      </c>
      <c r="B66" s="40">
        <v>87547</v>
      </c>
      <c r="C66" s="13" t="s">
        <v>853</v>
      </c>
      <c r="D66" s="94" t="s">
        <v>18</v>
      </c>
      <c r="E66" s="88">
        <v>8.4499999999999993</v>
      </c>
      <c r="F66" s="285">
        <v>15.27</v>
      </c>
      <c r="G66" s="305">
        <f t="shared" si="8"/>
        <v>19.087499999999999</v>
      </c>
      <c r="H66" s="89">
        <f t="shared" si="9"/>
        <v>161.28937499999998</v>
      </c>
      <c r="I66" s="28" t="s">
        <v>799</v>
      </c>
    </row>
    <row r="67" spans="1:10" ht="12.75" customHeight="1" x14ac:dyDescent="0.2">
      <c r="A67" s="350" t="s">
        <v>51</v>
      </c>
      <c r="B67" s="351"/>
      <c r="C67" s="351"/>
      <c r="D67" s="351"/>
      <c r="E67" s="351"/>
      <c r="F67" s="26"/>
      <c r="G67" s="306"/>
      <c r="H67" s="83">
        <f>SUM(H65:H66)</f>
        <v>189.49124999999998</v>
      </c>
      <c r="I67" s="28"/>
    </row>
    <row r="68" spans="1:10" ht="9" customHeight="1" thickBot="1" x14ac:dyDescent="0.25">
      <c r="G68" s="312"/>
    </row>
    <row r="69" spans="1:10" ht="13.5" thickBot="1" x14ac:dyDescent="0.25">
      <c r="A69" s="42" t="s">
        <v>154</v>
      </c>
      <c r="B69" s="42"/>
      <c r="C69" s="11" t="s">
        <v>87</v>
      </c>
      <c r="D69" s="74"/>
      <c r="E69" s="74"/>
      <c r="F69" s="74"/>
      <c r="G69" s="308"/>
      <c r="H69" s="75"/>
    </row>
    <row r="70" spans="1:10" ht="24" x14ac:dyDescent="0.2">
      <c r="A70" s="39" t="s">
        <v>155</v>
      </c>
      <c r="B70" s="39">
        <v>88485</v>
      </c>
      <c r="C70" s="12" t="s">
        <v>158</v>
      </c>
      <c r="D70" s="85" t="s">
        <v>18</v>
      </c>
      <c r="E70" s="86">
        <v>8.4499999999999993</v>
      </c>
      <c r="F70" s="284">
        <v>1.71</v>
      </c>
      <c r="G70" s="309">
        <f t="shared" ref="G70:G73" si="10">F70*(1+$H$7)</f>
        <v>2.1375000000000002</v>
      </c>
      <c r="H70" s="87">
        <f t="shared" ref="H70:H73" si="11">E70*G70</f>
        <v>18.061875000000001</v>
      </c>
      <c r="I70" s="28"/>
    </row>
    <row r="71" spans="1:10" ht="24" x14ac:dyDescent="0.2">
      <c r="A71" s="39" t="s">
        <v>156</v>
      </c>
      <c r="B71" s="39">
        <v>88489</v>
      </c>
      <c r="C71" s="12" t="s">
        <v>160</v>
      </c>
      <c r="D71" s="85" t="s">
        <v>18</v>
      </c>
      <c r="E71" s="86">
        <v>8.4499999999999993</v>
      </c>
      <c r="F71" s="284">
        <v>10.1</v>
      </c>
      <c r="G71" s="305">
        <f t="shared" si="10"/>
        <v>12.625</v>
      </c>
      <c r="H71" s="87">
        <f t="shared" si="11"/>
        <v>106.68124999999999</v>
      </c>
      <c r="I71" s="28"/>
    </row>
    <row r="72" spans="1:10" x14ac:dyDescent="0.2">
      <c r="A72" s="39" t="s">
        <v>847</v>
      </c>
      <c r="B72" s="39">
        <v>84657</v>
      </c>
      <c r="C72" s="12" t="s">
        <v>163</v>
      </c>
      <c r="D72" s="85" t="s">
        <v>18</v>
      </c>
      <c r="E72" s="86">
        <v>3.78</v>
      </c>
      <c r="F72" s="284">
        <v>8.74</v>
      </c>
      <c r="G72" s="305">
        <f t="shared" si="10"/>
        <v>10.925000000000001</v>
      </c>
      <c r="H72" s="87">
        <f t="shared" si="11"/>
        <v>41.296500000000002</v>
      </c>
      <c r="I72" s="28"/>
      <c r="J72" s="325">
        <f>0.9*2.1*2</f>
        <v>3.7800000000000002</v>
      </c>
    </row>
    <row r="73" spans="1:10" ht="24" x14ac:dyDescent="0.2">
      <c r="A73" s="39" t="s">
        <v>848</v>
      </c>
      <c r="B73" s="39" t="s">
        <v>165</v>
      </c>
      <c r="C73" s="126" t="s">
        <v>164</v>
      </c>
      <c r="D73" s="85" t="s">
        <v>18</v>
      </c>
      <c r="E73" s="86">
        <v>3.78</v>
      </c>
      <c r="F73" s="284">
        <v>20.260000000000002</v>
      </c>
      <c r="G73" s="305">
        <f t="shared" si="10"/>
        <v>25.325000000000003</v>
      </c>
      <c r="H73" s="87">
        <f t="shared" si="11"/>
        <v>95.728500000000011</v>
      </c>
      <c r="I73" s="28"/>
    </row>
    <row r="74" spans="1:10" ht="24" x14ac:dyDescent="0.2">
      <c r="A74" s="40" t="s">
        <v>849</v>
      </c>
      <c r="B74" s="40" t="s">
        <v>852</v>
      </c>
      <c r="C74" s="127" t="s">
        <v>851</v>
      </c>
      <c r="D74" s="94" t="s">
        <v>18</v>
      </c>
      <c r="E74" s="88">
        <v>89.45</v>
      </c>
      <c r="F74" s="285">
        <v>10.38</v>
      </c>
      <c r="G74" s="305">
        <f>F74*(1+$H$7)</f>
        <v>12.975000000000001</v>
      </c>
      <c r="H74" s="89">
        <f>E74*G74</f>
        <v>1160.6137500000002</v>
      </c>
      <c r="I74" s="28"/>
      <c r="J74" s="325">
        <f>(4.75*3.5+4.6*3.5)*2+(8*2.5*1.2)</f>
        <v>89.449999999999989</v>
      </c>
    </row>
    <row r="75" spans="1:10" ht="24" x14ac:dyDescent="0.2">
      <c r="A75" s="40" t="s">
        <v>850</v>
      </c>
      <c r="B75" s="40" t="s">
        <v>651</v>
      </c>
      <c r="C75" s="127" t="s">
        <v>650</v>
      </c>
      <c r="D75" s="94" t="s">
        <v>18</v>
      </c>
      <c r="E75" s="88">
        <v>89.45</v>
      </c>
      <c r="F75" s="285">
        <v>21.08</v>
      </c>
      <c r="G75" s="305">
        <f>F75*(1+$H$7)</f>
        <v>26.349999999999998</v>
      </c>
      <c r="H75" s="89">
        <f>E75*G75</f>
        <v>2357.0074999999997</v>
      </c>
      <c r="I75" s="28"/>
    </row>
    <row r="76" spans="1:10" ht="24" x14ac:dyDescent="0.2">
      <c r="A76" s="40" t="s">
        <v>893</v>
      </c>
      <c r="B76" s="40" t="s">
        <v>894</v>
      </c>
      <c r="C76" s="127" t="s">
        <v>895</v>
      </c>
      <c r="D76" s="94" t="s">
        <v>18</v>
      </c>
      <c r="E76" s="88">
        <v>344.95</v>
      </c>
      <c r="F76" s="285">
        <v>14.4</v>
      </c>
      <c r="G76" s="305">
        <f>F76*(1+$H$7)</f>
        <v>18</v>
      </c>
      <c r="H76" s="89">
        <f>E76*G76</f>
        <v>6209.0999999999995</v>
      </c>
      <c r="I76" s="28"/>
      <c r="J76" s="325">
        <f>(20+20+20.15+20.15)*5-(4.7*3.5+4.6*3.5)-(8*2.5*1.2)</f>
        <v>344.95</v>
      </c>
    </row>
    <row r="77" spans="1:10" ht="12.75" customHeight="1" x14ac:dyDescent="0.2">
      <c r="A77" s="350" t="s">
        <v>59</v>
      </c>
      <c r="B77" s="351"/>
      <c r="C77" s="351"/>
      <c r="D77" s="351"/>
      <c r="E77" s="351"/>
      <c r="F77" s="26"/>
      <c r="G77" s="306"/>
      <c r="H77" s="83">
        <f>SUM(H70:H76)</f>
        <v>9988.4893749999992</v>
      </c>
      <c r="I77" s="28"/>
    </row>
    <row r="78" spans="1:10" ht="9" customHeight="1" thickBot="1" x14ac:dyDescent="0.25">
      <c r="G78" s="312"/>
    </row>
    <row r="79" spans="1:10" s="3" customFormat="1" ht="13.5" thickBot="1" x14ac:dyDescent="0.25">
      <c r="A79" s="42" t="s">
        <v>60</v>
      </c>
      <c r="B79" s="42"/>
      <c r="C79" s="11" t="s">
        <v>88</v>
      </c>
      <c r="D79" s="74"/>
      <c r="E79" s="74"/>
      <c r="F79" s="74"/>
      <c r="G79" s="308"/>
      <c r="H79" s="75"/>
      <c r="J79" s="329"/>
    </row>
    <row r="80" spans="1:10" s="3" customFormat="1" x14ac:dyDescent="0.2">
      <c r="A80" s="45" t="s">
        <v>62</v>
      </c>
      <c r="B80" s="45"/>
      <c r="C80" s="122" t="s">
        <v>503</v>
      </c>
      <c r="D80" s="123"/>
      <c r="E80" s="113"/>
      <c r="F80" s="50"/>
      <c r="G80" s="307"/>
      <c r="H80" s="99"/>
      <c r="J80" s="329"/>
    </row>
    <row r="81" spans="1:14" s="3" customFormat="1" ht="24" x14ac:dyDescent="0.2">
      <c r="A81" s="40" t="s">
        <v>170</v>
      </c>
      <c r="B81" s="40">
        <v>92980</v>
      </c>
      <c r="C81" s="13" t="s">
        <v>859</v>
      </c>
      <c r="D81" s="79" t="s">
        <v>77</v>
      </c>
      <c r="E81" s="125">
        <v>1</v>
      </c>
      <c r="F81" s="285">
        <v>992.55</v>
      </c>
      <c r="G81" s="305">
        <f>F81*(1+$H$7)</f>
        <v>1240.6875</v>
      </c>
      <c r="H81" s="89">
        <f>E81*G81</f>
        <v>1240.6875</v>
      </c>
      <c r="I81" s="3" t="s">
        <v>799</v>
      </c>
      <c r="J81" s="329"/>
    </row>
    <row r="82" spans="1:14" s="3" customFormat="1" ht="24" x14ac:dyDescent="0.2">
      <c r="A82" s="40" t="s">
        <v>171</v>
      </c>
      <c r="B82" s="40">
        <v>92980</v>
      </c>
      <c r="C82" s="13" t="s">
        <v>854</v>
      </c>
      <c r="D82" s="79" t="s">
        <v>47</v>
      </c>
      <c r="E82" s="125">
        <v>100</v>
      </c>
      <c r="F82" s="285">
        <v>5.77</v>
      </c>
      <c r="G82" s="305">
        <f>F82*(1+$H$7)</f>
        <v>7.2124999999999995</v>
      </c>
      <c r="H82" s="89">
        <f>E82*G82</f>
        <v>721.25</v>
      </c>
      <c r="I82" s="28" t="s">
        <v>799</v>
      </c>
      <c r="J82" s="329" t="s">
        <v>855</v>
      </c>
      <c r="K82" s="3">
        <f>20*5</f>
        <v>100</v>
      </c>
    </row>
    <row r="83" spans="1:14" s="3" customFormat="1" ht="48" x14ac:dyDescent="0.2">
      <c r="A83" s="39" t="s">
        <v>494</v>
      </c>
      <c r="B83" s="39">
        <v>83463</v>
      </c>
      <c r="C83" s="16" t="s">
        <v>499</v>
      </c>
      <c r="D83" s="194" t="s">
        <v>77</v>
      </c>
      <c r="E83" s="195">
        <v>1</v>
      </c>
      <c r="F83" s="289">
        <v>347.61</v>
      </c>
      <c r="G83" s="305">
        <f>F83*(1+$H$7)</f>
        <v>434.51250000000005</v>
      </c>
      <c r="H83" s="89">
        <f>E83*G83</f>
        <v>434.51250000000005</v>
      </c>
      <c r="I83" s="28" t="s">
        <v>799</v>
      </c>
      <c r="J83" s="329"/>
    </row>
    <row r="84" spans="1:14" s="3" customFormat="1" x14ac:dyDescent="0.2">
      <c r="A84" s="55" t="s">
        <v>63</v>
      </c>
      <c r="B84" s="46"/>
      <c r="C84" s="17" t="s">
        <v>128</v>
      </c>
      <c r="D84" s="108"/>
      <c r="E84" s="101"/>
      <c r="F84" s="109"/>
      <c r="G84" s="313"/>
      <c r="H84" s="106"/>
      <c r="J84" s="329"/>
    </row>
    <row r="85" spans="1:14" s="3" customFormat="1" ht="24" x14ac:dyDescent="0.2">
      <c r="A85" s="40" t="s">
        <v>172</v>
      </c>
      <c r="B85" s="40">
        <v>93654</v>
      </c>
      <c r="C85" s="12" t="s">
        <v>173</v>
      </c>
      <c r="D85" s="76" t="s">
        <v>77</v>
      </c>
      <c r="E85" s="86">
        <v>4</v>
      </c>
      <c r="F85" s="284">
        <v>9.24</v>
      </c>
      <c r="G85" s="305">
        <f>F85*(1+$H$7)</f>
        <v>11.55</v>
      </c>
      <c r="H85" s="87">
        <f>E85*G85</f>
        <v>46.2</v>
      </c>
      <c r="I85" s="28" t="s">
        <v>799</v>
      </c>
      <c r="J85" s="329" t="s">
        <v>856</v>
      </c>
    </row>
    <row r="86" spans="1:14" s="3" customFormat="1" ht="24" x14ac:dyDescent="0.2">
      <c r="A86" s="40" t="s">
        <v>174</v>
      </c>
      <c r="B86" s="40">
        <v>93655</v>
      </c>
      <c r="C86" s="13" t="s">
        <v>506</v>
      </c>
      <c r="D86" s="79" t="s">
        <v>77</v>
      </c>
      <c r="E86" s="88">
        <v>2</v>
      </c>
      <c r="F86" s="285">
        <v>10.27</v>
      </c>
      <c r="G86" s="305">
        <f>F86*(1+$H$7)</f>
        <v>12.837499999999999</v>
      </c>
      <c r="H86" s="87">
        <f>E86*G86</f>
        <v>25.674999999999997</v>
      </c>
      <c r="I86" s="28" t="s">
        <v>799</v>
      </c>
      <c r="J86" s="329" t="s">
        <v>857</v>
      </c>
    </row>
    <row r="87" spans="1:14" s="3" customFormat="1" ht="24" x14ac:dyDescent="0.2">
      <c r="A87" s="40" t="s">
        <v>221</v>
      </c>
      <c r="B87" s="40">
        <v>93671</v>
      </c>
      <c r="C87" s="13" t="s">
        <v>858</v>
      </c>
      <c r="D87" s="79" t="s">
        <v>77</v>
      </c>
      <c r="E87" s="88">
        <v>2</v>
      </c>
      <c r="F87" s="285">
        <v>61.88</v>
      </c>
      <c r="G87" s="305">
        <f>F87*(1+$H$7)</f>
        <v>77.350000000000009</v>
      </c>
      <c r="H87" s="87">
        <f>E87*G87</f>
        <v>154.70000000000002</v>
      </c>
      <c r="I87" s="28" t="s">
        <v>799</v>
      </c>
      <c r="J87" s="329" t="s">
        <v>857</v>
      </c>
    </row>
    <row r="88" spans="1:14" s="3" customFormat="1" x14ac:dyDescent="0.2">
      <c r="A88" s="55" t="s">
        <v>64</v>
      </c>
      <c r="B88" s="47"/>
      <c r="C88" s="17" t="s">
        <v>175</v>
      </c>
      <c r="D88" s="108"/>
      <c r="E88" s="101"/>
      <c r="F88" s="109"/>
      <c r="G88" s="313"/>
      <c r="H88" s="106"/>
      <c r="J88" s="329"/>
    </row>
    <row r="89" spans="1:14" s="3" customFormat="1" ht="24" x14ac:dyDescent="0.2">
      <c r="A89" s="40" t="s">
        <v>176</v>
      </c>
      <c r="B89" s="40">
        <v>97593</v>
      </c>
      <c r="C89" s="12" t="s">
        <v>879</v>
      </c>
      <c r="D89" s="85" t="s">
        <v>77</v>
      </c>
      <c r="E89" s="86">
        <v>18</v>
      </c>
      <c r="F89" s="284">
        <v>48.34</v>
      </c>
      <c r="G89" s="305">
        <f>F89*(1+$H$7)</f>
        <v>60.425000000000004</v>
      </c>
      <c r="H89" s="87">
        <f>E89*G89</f>
        <v>1087.6500000000001</v>
      </c>
      <c r="I89" s="28" t="s">
        <v>799</v>
      </c>
      <c r="J89" s="329" t="s">
        <v>860</v>
      </c>
      <c r="N89" s="3">
        <f>67.9-2*9.78</f>
        <v>48.34</v>
      </c>
    </row>
    <row r="90" spans="1:14" s="3" customFormat="1" ht="24" x14ac:dyDescent="0.2">
      <c r="A90" s="40" t="s">
        <v>177</v>
      </c>
      <c r="B90" s="40">
        <v>97610</v>
      </c>
      <c r="C90" s="15" t="s">
        <v>878</v>
      </c>
      <c r="D90" s="110" t="s">
        <v>77</v>
      </c>
      <c r="E90" s="105">
        <v>18</v>
      </c>
      <c r="F90" s="288">
        <v>34.82</v>
      </c>
      <c r="G90" s="305">
        <f>F90*(1+$H$7)</f>
        <v>43.524999999999999</v>
      </c>
      <c r="H90" s="87">
        <f>E90*G90</f>
        <v>783.44999999999993</v>
      </c>
      <c r="I90" s="28" t="s">
        <v>799</v>
      </c>
      <c r="J90" s="329"/>
    </row>
    <row r="91" spans="1:14" s="3" customFormat="1" x14ac:dyDescent="0.2">
      <c r="A91" s="55" t="s">
        <v>113</v>
      </c>
      <c r="B91" s="46"/>
      <c r="C91" s="17" t="s">
        <v>179</v>
      </c>
      <c r="D91" s="108"/>
      <c r="E91" s="109"/>
      <c r="F91" s="109"/>
      <c r="G91" s="313"/>
      <c r="H91" s="106"/>
      <c r="J91" s="329"/>
    </row>
    <row r="92" spans="1:14" s="3" customFormat="1" ht="31.5" customHeight="1" x14ac:dyDescent="0.2">
      <c r="A92" s="56" t="s">
        <v>178</v>
      </c>
      <c r="B92" s="40">
        <v>91871</v>
      </c>
      <c r="C92" s="12" t="s">
        <v>880</v>
      </c>
      <c r="D92" s="76" t="s">
        <v>47</v>
      </c>
      <c r="E92" s="77">
        <v>45.6</v>
      </c>
      <c r="F92" s="286">
        <v>7.95</v>
      </c>
      <c r="G92" s="305">
        <f>F92*(1+$H$7)</f>
        <v>9.9375</v>
      </c>
      <c r="H92" s="87">
        <f>E92*G92</f>
        <v>453.15000000000003</v>
      </c>
      <c r="I92" s="28" t="s">
        <v>799</v>
      </c>
      <c r="J92" s="329">
        <f>12*3.8</f>
        <v>45.599999999999994</v>
      </c>
      <c r="K92" s="3" t="s">
        <v>47</v>
      </c>
    </row>
    <row r="93" spans="1:14" s="3" customFormat="1" ht="24" x14ac:dyDescent="0.2">
      <c r="A93" s="56" t="s">
        <v>180</v>
      </c>
      <c r="B93" s="40">
        <v>91940</v>
      </c>
      <c r="C93" s="13" t="s">
        <v>883</v>
      </c>
      <c r="D93" s="94" t="s">
        <v>77</v>
      </c>
      <c r="E93" s="88">
        <v>18</v>
      </c>
      <c r="F93" s="285">
        <v>9.4</v>
      </c>
      <c r="G93" s="305">
        <f>F93*(1+$H$7)</f>
        <v>11.75</v>
      </c>
      <c r="H93" s="87">
        <f>E93*G93</f>
        <v>211.5</v>
      </c>
      <c r="I93" s="28" t="s">
        <v>799</v>
      </c>
      <c r="J93" s="329"/>
    </row>
    <row r="94" spans="1:14" s="3" customFormat="1" ht="30.75" customHeight="1" x14ac:dyDescent="0.2">
      <c r="A94" s="56" t="s">
        <v>181</v>
      </c>
      <c r="B94" s="40">
        <v>91940</v>
      </c>
      <c r="C94" s="13" t="s">
        <v>861</v>
      </c>
      <c r="D94" s="94" t="s">
        <v>47</v>
      </c>
      <c r="E94" s="88">
        <v>250</v>
      </c>
      <c r="F94" s="285">
        <v>4.99</v>
      </c>
      <c r="G94" s="305">
        <f>F94*(1+$H$7)</f>
        <v>6.2375000000000007</v>
      </c>
      <c r="H94" s="87">
        <f>E94*G94</f>
        <v>1559.3750000000002</v>
      </c>
      <c r="I94" s="28" t="s">
        <v>799</v>
      </c>
      <c r="J94" s="329"/>
    </row>
    <row r="95" spans="1:14" s="3" customFormat="1" ht="36" x14ac:dyDescent="0.2">
      <c r="A95" s="56" t="s">
        <v>881</v>
      </c>
      <c r="B95" s="40">
        <v>91926</v>
      </c>
      <c r="C95" s="13" t="s">
        <v>862</v>
      </c>
      <c r="D95" s="94" t="s">
        <v>47</v>
      </c>
      <c r="E95" s="88">
        <v>250</v>
      </c>
      <c r="F95" s="285">
        <v>2.27</v>
      </c>
      <c r="G95" s="305">
        <f>F95*(1+$H$7)</f>
        <v>2.8374999999999999</v>
      </c>
      <c r="H95" s="87">
        <f>E95*G95</f>
        <v>709.375</v>
      </c>
      <c r="I95" s="28" t="s">
        <v>799</v>
      </c>
      <c r="J95" s="329"/>
    </row>
    <row r="96" spans="1:14" s="3" customFormat="1" ht="36" x14ac:dyDescent="0.2">
      <c r="A96" s="56" t="s">
        <v>882</v>
      </c>
      <c r="B96" s="40">
        <v>91924</v>
      </c>
      <c r="C96" s="13" t="s">
        <v>863</v>
      </c>
      <c r="D96" s="94" t="s">
        <v>47</v>
      </c>
      <c r="E96" s="88">
        <v>250</v>
      </c>
      <c r="F96" s="285">
        <v>1.56</v>
      </c>
      <c r="G96" s="305">
        <f>F96*(1+$H$7)</f>
        <v>1.9500000000000002</v>
      </c>
      <c r="H96" s="87">
        <f>E96*G96</f>
        <v>487.50000000000006</v>
      </c>
      <c r="I96" s="28" t="s">
        <v>799</v>
      </c>
      <c r="J96" s="329"/>
    </row>
    <row r="97" spans="1:10" s="3" customFormat="1" ht="12.75" customHeight="1" x14ac:dyDescent="0.2">
      <c r="A97" s="350" t="s">
        <v>61</v>
      </c>
      <c r="B97" s="351"/>
      <c r="C97" s="351"/>
      <c r="D97" s="351"/>
      <c r="E97" s="351"/>
      <c r="F97" s="26"/>
      <c r="G97" s="306"/>
      <c r="H97" s="83">
        <f>SUM(H81:H96)</f>
        <v>7915.0249999999996</v>
      </c>
      <c r="I97" s="28"/>
      <c r="J97" s="329"/>
    </row>
    <row r="98" spans="1:10" ht="9" customHeight="1" thickBot="1" x14ac:dyDescent="0.25">
      <c r="G98" s="312"/>
    </row>
    <row r="99" spans="1:10" s="3" customFormat="1" ht="13.5" thickBot="1" x14ac:dyDescent="0.25">
      <c r="A99" s="42" t="s">
        <v>65</v>
      </c>
      <c r="B99" s="42"/>
      <c r="C99" s="11" t="s">
        <v>89</v>
      </c>
      <c r="D99" s="74"/>
      <c r="E99" s="74"/>
      <c r="F99" s="74"/>
      <c r="G99" s="308"/>
      <c r="H99" s="75"/>
      <c r="J99" s="329"/>
    </row>
    <row r="100" spans="1:10" s="3" customFormat="1" ht="24" x14ac:dyDescent="0.2">
      <c r="A100" s="37" t="s">
        <v>197</v>
      </c>
      <c r="B100" s="49">
        <v>89402</v>
      </c>
      <c r="C100" s="12" t="s">
        <v>877</v>
      </c>
      <c r="D100" s="76" t="s">
        <v>47</v>
      </c>
      <c r="E100" s="77">
        <v>6</v>
      </c>
      <c r="F100" s="284">
        <v>6.41</v>
      </c>
      <c r="G100" s="305">
        <f t="shared" ref="G100:G104" si="12">F100*(1+$H$7)</f>
        <v>8.0124999999999993</v>
      </c>
      <c r="H100" s="78">
        <f t="shared" ref="H100:H105" si="13">E100*G100</f>
        <v>48.074999999999996</v>
      </c>
      <c r="I100" s="28" t="s">
        <v>799</v>
      </c>
      <c r="J100" s="329"/>
    </row>
    <row r="101" spans="1:10" s="3" customFormat="1" ht="24" x14ac:dyDescent="0.2">
      <c r="A101" s="37" t="s">
        <v>219</v>
      </c>
      <c r="B101" s="49">
        <v>89408</v>
      </c>
      <c r="C101" s="13" t="s">
        <v>884</v>
      </c>
      <c r="D101" s="79" t="s">
        <v>77</v>
      </c>
      <c r="E101" s="80">
        <v>6</v>
      </c>
      <c r="F101" s="285">
        <v>3.89</v>
      </c>
      <c r="G101" s="305">
        <f t="shared" si="12"/>
        <v>4.8624999999999998</v>
      </c>
      <c r="H101" s="78">
        <f t="shared" si="13"/>
        <v>29.174999999999997</v>
      </c>
      <c r="I101" s="28" t="s">
        <v>799</v>
      </c>
      <c r="J101" s="329"/>
    </row>
    <row r="102" spans="1:10" s="3" customFormat="1" ht="24" x14ac:dyDescent="0.2">
      <c r="A102" s="37" t="s">
        <v>225</v>
      </c>
      <c r="B102" s="49">
        <v>89395</v>
      </c>
      <c r="C102" s="13" t="s">
        <v>207</v>
      </c>
      <c r="D102" s="79" t="s">
        <v>77</v>
      </c>
      <c r="E102" s="80">
        <v>1</v>
      </c>
      <c r="F102" s="285">
        <v>7.85</v>
      </c>
      <c r="G102" s="305">
        <f>F102*(1+$H$7)</f>
        <v>9.8125</v>
      </c>
      <c r="H102" s="78">
        <f>E102*G102</f>
        <v>9.8125</v>
      </c>
      <c r="I102" s="28" t="s">
        <v>799</v>
      </c>
      <c r="J102" s="329"/>
    </row>
    <row r="103" spans="1:10" s="3" customFormat="1" ht="36" x14ac:dyDescent="0.2">
      <c r="A103" s="37" t="s">
        <v>844</v>
      </c>
      <c r="B103" s="129">
        <v>90373</v>
      </c>
      <c r="C103" s="127" t="s">
        <v>208</v>
      </c>
      <c r="D103" s="79" t="s">
        <v>77</v>
      </c>
      <c r="E103" s="80">
        <v>3</v>
      </c>
      <c r="F103" s="285">
        <v>8.93</v>
      </c>
      <c r="G103" s="305">
        <f>F103*(1+$H$7)</f>
        <v>11.1625</v>
      </c>
      <c r="H103" s="78">
        <f>E103*G103</f>
        <v>33.487499999999997</v>
      </c>
      <c r="I103" s="28" t="s">
        <v>799</v>
      </c>
      <c r="J103" s="329"/>
    </row>
    <row r="104" spans="1:10" s="3" customFormat="1" ht="36" x14ac:dyDescent="0.2">
      <c r="A104" s="37" t="s">
        <v>845</v>
      </c>
      <c r="B104" s="49">
        <v>89429</v>
      </c>
      <c r="C104" s="12" t="s">
        <v>206</v>
      </c>
      <c r="D104" s="79" t="s">
        <v>77</v>
      </c>
      <c r="E104" s="80">
        <v>2</v>
      </c>
      <c r="F104" s="285">
        <v>3.02</v>
      </c>
      <c r="G104" s="305">
        <f t="shared" si="12"/>
        <v>3.7749999999999999</v>
      </c>
      <c r="H104" s="78">
        <f t="shared" si="13"/>
        <v>7.55</v>
      </c>
      <c r="I104" s="28" t="s">
        <v>799</v>
      </c>
      <c r="J104" s="329"/>
    </row>
    <row r="105" spans="1:10" s="3" customFormat="1" ht="36" x14ac:dyDescent="0.2">
      <c r="A105" s="37" t="s">
        <v>846</v>
      </c>
      <c r="B105" s="38">
        <v>89987</v>
      </c>
      <c r="C105" s="19" t="s">
        <v>199</v>
      </c>
      <c r="D105" s="79" t="s">
        <v>77</v>
      </c>
      <c r="E105" s="80">
        <v>1</v>
      </c>
      <c r="F105" s="285">
        <v>99.2</v>
      </c>
      <c r="G105" s="305">
        <f>F105*(1+$H$7)</f>
        <v>124</v>
      </c>
      <c r="H105" s="78">
        <f t="shared" si="13"/>
        <v>124</v>
      </c>
      <c r="I105" s="28" t="s">
        <v>799</v>
      </c>
      <c r="J105" s="329"/>
    </row>
    <row r="106" spans="1:10" s="3" customFormat="1" ht="12.75" customHeight="1" x14ac:dyDescent="0.2">
      <c r="A106" s="350" t="s">
        <v>66</v>
      </c>
      <c r="B106" s="351"/>
      <c r="C106" s="351"/>
      <c r="D106" s="351"/>
      <c r="E106" s="351"/>
      <c r="F106" s="26"/>
      <c r="G106" s="306"/>
      <c r="H106" s="83">
        <f>SUM(H100:H105)</f>
        <v>252.1</v>
      </c>
      <c r="I106" s="28"/>
      <c r="J106" s="329"/>
    </row>
    <row r="107" spans="1:10" s="3" customFormat="1" ht="9" customHeight="1" thickBot="1" x14ac:dyDescent="0.25">
      <c r="A107" s="50"/>
      <c r="B107" s="50"/>
      <c r="C107" s="23"/>
      <c r="D107" s="23"/>
      <c r="E107" s="113"/>
      <c r="F107" s="50"/>
      <c r="G107" s="307"/>
      <c r="H107" s="114"/>
      <c r="J107" s="329"/>
    </row>
    <row r="108" spans="1:10" s="3" customFormat="1" ht="13.5" thickBot="1" x14ac:dyDescent="0.25">
      <c r="A108" s="42" t="s">
        <v>67</v>
      </c>
      <c r="B108" s="42"/>
      <c r="C108" s="11" t="s">
        <v>90</v>
      </c>
      <c r="D108" s="74"/>
      <c r="E108" s="74"/>
      <c r="F108" s="74"/>
      <c r="G108" s="308"/>
      <c r="H108" s="75"/>
      <c r="J108" s="329"/>
    </row>
    <row r="109" spans="1:10" s="3" customFormat="1" ht="36" x14ac:dyDescent="0.2">
      <c r="A109" s="52" t="s">
        <v>230</v>
      </c>
      <c r="B109" s="133">
        <v>89711</v>
      </c>
      <c r="C109" s="25" t="s">
        <v>202</v>
      </c>
      <c r="D109" s="115" t="s">
        <v>47</v>
      </c>
      <c r="E109" s="77">
        <v>2</v>
      </c>
      <c r="F109" s="284">
        <v>12.36</v>
      </c>
      <c r="G109" s="305">
        <f t="shared" ref="G109:G119" si="14">F109*(1+$H$7)</f>
        <v>15.45</v>
      </c>
      <c r="H109" s="78">
        <f>E109*G109</f>
        <v>30.9</v>
      </c>
      <c r="I109" s="28"/>
      <c r="J109" s="329"/>
    </row>
    <row r="110" spans="1:10" s="3" customFormat="1" ht="36" x14ac:dyDescent="0.2">
      <c r="A110" s="52" t="s">
        <v>231</v>
      </c>
      <c r="B110" s="133">
        <v>89724</v>
      </c>
      <c r="C110" s="25" t="s">
        <v>209</v>
      </c>
      <c r="D110" s="115" t="s">
        <v>77</v>
      </c>
      <c r="E110" s="77">
        <v>2</v>
      </c>
      <c r="F110" s="284">
        <v>4.99</v>
      </c>
      <c r="G110" s="305">
        <f t="shared" si="14"/>
        <v>6.2375000000000007</v>
      </c>
      <c r="H110" s="78">
        <f t="shared" ref="H110:H119" si="15">E110*G110</f>
        <v>12.475000000000001</v>
      </c>
      <c r="I110" s="28"/>
      <c r="J110" s="329"/>
    </row>
    <row r="111" spans="1:10" s="3" customFormat="1" ht="36" x14ac:dyDescent="0.2">
      <c r="A111" s="52" t="s">
        <v>835</v>
      </c>
      <c r="B111" s="133">
        <v>89712</v>
      </c>
      <c r="C111" s="25" t="s">
        <v>201</v>
      </c>
      <c r="D111" s="115" t="s">
        <v>47</v>
      </c>
      <c r="E111" s="77">
        <v>2</v>
      </c>
      <c r="F111" s="284">
        <v>18.170000000000002</v>
      </c>
      <c r="G111" s="305">
        <f t="shared" si="14"/>
        <v>22.712500000000002</v>
      </c>
      <c r="H111" s="78">
        <f t="shared" si="15"/>
        <v>45.425000000000004</v>
      </c>
      <c r="I111" s="28"/>
      <c r="J111" s="329"/>
    </row>
    <row r="112" spans="1:10" s="3" customFormat="1" ht="36" x14ac:dyDescent="0.2">
      <c r="A112" s="52" t="s">
        <v>836</v>
      </c>
      <c r="B112" s="133">
        <v>89731</v>
      </c>
      <c r="C112" s="25" t="s">
        <v>210</v>
      </c>
      <c r="D112" s="115" t="s">
        <v>77</v>
      </c>
      <c r="E112" s="77">
        <v>2</v>
      </c>
      <c r="F112" s="284">
        <v>6.77</v>
      </c>
      <c r="G112" s="305">
        <f t="shared" si="14"/>
        <v>8.4624999999999986</v>
      </c>
      <c r="H112" s="78">
        <f t="shared" si="15"/>
        <v>16.924999999999997</v>
      </c>
      <c r="I112" s="28"/>
      <c r="J112" s="329"/>
    </row>
    <row r="113" spans="1:10" s="3" customFormat="1" ht="36" x14ac:dyDescent="0.2">
      <c r="A113" s="52" t="s">
        <v>837</v>
      </c>
      <c r="B113" s="133">
        <v>89714</v>
      </c>
      <c r="C113" s="25" t="s">
        <v>200</v>
      </c>
      <c r="D113" s="115" t="s">
        <v>47</v>
      </c>
      <c r="E113" s="77">
        <v>6</v>
      </c>
      <c r="F113" s="284">
        <v>35.96</v>
      </c>
      <c r="G113" s="305">
        <f t="shared" si="14"/>
        <v>44.95</v>
      </c>
      <c r="H113" s="78">
        <f t="shared" si="15"/>
        <v>269.70000000000005</v>
      </c>
      <c r="I113" s="28"/>
      <c r="J113" s="329"/>
    </row>
    <row r="114" spans="1:10" s="3" customFormat="1" ht="36" x14ac:dyDescent="0.2">
      <c r="A114" s="52" t="s">
        <v>838</v>
      </c>
      <c r="B114" s="133">
        <v>89744</v>
      </c>
      <c r="C114" s="25" t="s">
        <v>211</v>
      </c>
      <c r="D114" s="115" t="s">
        <v>77</v>
      </c>
      <c r="E114" s="77">
        <v>2</v>
      </c>
      <c r="F114" s="284">
        <v>14.88</v>
      </c>
      <c r="G114" s="305">
        <f t="shared" si="14"/>
        <v>18.600000000000001</v>
      </c>
      <c r="H114" s="78">
        <f t="shared" si="15"/>
        <v>37.200000000000003</v>
      </c>
      <c r="I114" s="28"/>
      <c r="J114" s="329"/>
    </row>
    <row r="115" spans="1:10" s="3" customFormat="1" ht="36" x14ac:dyDescent="0.2">
      <c r="A115" s="52" t="s">
        <v>839</v>
      </c>
      <c r="B115" s="51">
        <v>89709</v>
      </c>
      <c r="C115" s="25" t="s">
        <v>203</v>
      </c>
      <c r="D115" s="115" t="s">
        <v>77</v>
      </c>
      <c r="E115" s="77">
        <v>1</v>
      </c>
      <c r="F115" s="284">
        <v>8.3000000000000007</v>
      </c>
      <c r="G115" s="305">
        <f t="shared" si="14"/>
        <v>10.375</v>
      </c>
      <c r="H115" s="78">
        <f t="shared" si="15"/>
        <v>10.375</v>
      </c>
      <c r="I115" s="28"/>
      <c r="J115" s="329"/>
    </row>
    <row r="116" spans="1:10" s="3" customFormat="1" ht="36" x14ac:dyDescent="0.2">
      <c r="A116" s="52" t="s">
        <v>840</v>
      </c>
      <c r="B116" s="51" t="s">
        <v>666</v>
      </c>
      <c r="C116" s="25" t="s">
        <v>203</v>
      </c>
      <c r="D116" s="115" t="s">
        <v>77</v>
      </c>
      <c r="E116" s="77">
        <v>1</v>
      </c>
      <c r="F116" s="284">
        <v>80</v>
      </c>
      <c r="G116" s="305">
        <f t="shared" si="14"/>
        <v>100</v>
      </c>
      <c r="H116" s="78">
        <f t="shared" si="15"/>
        <v>100</v>
      </c>
      <c r="I116" s="28"/>
      <c r="J116" s="329"/>
    </row>
    <row r="117" spans="1:10" s="3" customFormat="1" ht="48" x14ac:dyDescent="0.2">
      <c r="A117" s="52" t="s">
        <v>841</v>
      </c>
      <c r="B117" s="53" t="s">
        <v>205</v>
      </c>
      <c r="C117" s="24" t="s">
        <v>204</v>
      </c>
      <c r="D117" s="116" t="s">
        <v>77</v>
      </c>
      <c r="E117" s="80">
        <v>1</v>
      </c>
      <c r="F117" s="285">
        <v>127.82</v>
      </c>
      <c r="G117" s="305">
        <f t="shared" si="14"/>
        <v>159.77499999999998</v>
      </c>
      <c r="H117" s="78">
        <f t="shared" si="15"/>
        <v>159.77499999999998</v>
      </c>
      <c r="I117" s="28"/>
      <c r="J117" s="329"/>
    </row>
    <row r="118" spans="1:10" s="3" customFormat="1" ht="48" x14ac:dyDescent="0.2">
      <c r="A118" s="52" t="s">
        <v>842</v>
      </c>
      <c r="B118" s="51">
        <v>95463</v>
      </c>
      <c r="C118" s="25" t="s">
        <v>833</v>
      </c>
      <c r="D118" s="115" t="s">
        <v>77</v>
      </c>
      <c r="E118" s="77">
        <v>1</v>
      </c>
      <c r="F118" s="284">
        <v>1275.56</v>
      </c>
      <c r="G118" s="305">
        <f t="shared" si="14"/>
        <v>1594.4499999999998</v>
      </c>
      <c r="H118" s="78">
        <f t="shared" si="15"/>
        <v>1594.4499999999998</v>
      </c>
      <c r="I118" s="28"/>
      <c r="J118" s="329"/>
    </row>
    <row r="119" spans="1:10" s="3" customFormat="1" ht="24" x14ac:dyDescent="0.2">
      <c r="A119" s="52" t="s">
        <v>843</v>
      </c>
      <c r="B119" s="56" t="s">
        <v>629</v>
      </c>
      <c r="C119" s="22" t="s">
        <v>834</v>
      </c>
      <c r="D119" s="104" t="s">
        <v>77</v>
      </c>
      <c r="E119" s="112">
        <v>1</v>
      </c>
      <c r="F119" s="285">
        <v>654.95000000000005</v>
      </c>
      <c r="G119" s="305">
        <f t="shared" si="14"/>
        <v>818.6875</v>
      </c>
      <c r="H119" s="78">
        <f t="shared" si="15"/>
        <v>818.6875</v>
      </c>
      <c r="I119" s="28"/>
      <c r="J119" s="329"/>
    </row>
    <row r="120" spans="1:10" s="3" customFormat="1" ht="12.75" customHeight="1" x14ac:dyDescent="0.2">
      <c r="A120" s="350" t="s">
        <v>637</v>
      </c>
      <c r="B120" s="351"/>
      <c r="C120" s="351"/>
      <c r="D120" s="351"/>
      <c r="E120" s="351"/>
      <c r="F120" s="26"/>
      <c r="G120" s="306"/>
      <c r="H120" s="83">
        <f>SUM(H109:H119)</f>
        <v>3095.9124999999999</v>
      </c>
      <c r="I120" s="28"/>
      <c r="J120" s="329"/>
    </row>
    <row r="121" spans="1:10" s="3" customFormat="1" ht="9" customHeight="1" thickBot="1" x14ac:dyDescent="0.25">
      <c r="A121" s="54"/>
      <c r="B121" s="54"/>
      <c r="C121" s="18"/>
      <c r="D121" s="54"/>
      <c r="E121" s="102"/>
      <c r="F121" s="54"/>
      <c r="G121" s="315"/>
      <c r="H121" s="103"/>
      <c r="J121" s="329"/>
    </row>
    <row r="122" spans="1:10" s="3" customFormat="1" ht="13.5" thickBot="1" x14ac:dyDescent="0.25">
      <c r="A122" s="42" t="s">
        <v>68</v>
      </c>
      <c r="B122" s="42"/>
      <c r="C122" s="11" t="s">
        <v>198</v>
      </c>
      <c r="D122" s="74"/>
      <c r="E122" s="74"/>
      <c r="F122" s="74"/>
      <c r="G122" s="308"/>
      <c r="H122" s="75"/>
      <c r="J122" s="329"/>
    </row>
    <row r="123" spans="1:10" s="3" customFormat="1" ht="36" x14ac:dyDescent="0.2">
      <c r="A123" s="38" t="s">
        <v>69</v>
      </c>
      <c r="B123" s="38">
        <v>86931</v>
      </c>
      <c r="C123" s="12" t="s">
        <v>885</v>
      </c>
      <c r="D123" s="76" t="s">
        <v>77</v>
      </c>
      <c r="E123" s="77">
        <v>1</v>
      </c>
      <c r="F123" s="284">
        <v>373.2</v>
      </c>
      <c r="G123" s="305">
        <f t="shared" ref="G123:G126" si="16">F123*(1+$H$7)</f>
        <v>466.5</v>
      </c>
      <c r="H123" s="78">
        <f>E123*G123</f>
        <v>466.5</v>
      </c>
      <c r="I123" s="28"/>
      <c r="J123" s="329"/>
    </row>
    <row r="124" spans="1:10" s="3" customFormat="1" ht="24" x14ac:dyDescent="0.2">
      <c r="A124" s="38" t="s">
        <v>228</v>
      </c>
      <c r="B124" s="38">
        <v>86902</v>
      </c>
      <c r="C124" s="12" t="s">
        <v>886</v>
      </c>
      <c r="D124" s="79" t="s">
        <v>77</v>
      </c>
      <c r="E124" s="77">
        <v>1</v>
      </c>
      <c r="F124" s="284">
        <v>185.84</v>
      </c>
      <c r="G124" s="305">
        <f t="shared" si="16"/>
        <v>232.3</v>
      </c>
      <c r="H124" s="78">
        <f t="shared" ref="H124:H126" si="17">E124*G124</f>
        <v>232.3</v>
      </c>
      <c r="I124" s="28"/>
      <c r="J124" s="329"/>
    </row>
    <row r="125" spans="1:10" s="3" customFormat="1" ht="24" x14ac:dyDescent="0.2">
      <c r="A125" s="38" t="s">
        <v>831</v>
      </c>
      <c r="B125" s="38">
        <v>86915</v>
      </c>
      <c r="C125" s="19" t="s">
        <v>887</v>
      </c>
      <c r="D125" s="79" t="s">
        <v>77</v>
      </c>
      <c r="E125" s="80">
        <v>1</v>
      </c>
      <c r="F125" s="285">
        <v>109.01</v>
      </c>
      <c r="G125" s="305">
        <f t="shared" si="16"/>
        <v>136.26250000000002</v>
      </c>
      <c r="H125" s="78">
        <f t="shared" si="17"/>
        <v>136.26250000000002</v>
      </c>
      <c r="I125" s="28"/>
      <c r="J125" s="329"/>
    </row>
    <row r="126" spans="1:10" s="3" customFormat="1" ht="24" x14ac:dyDescent="0.2">
      <c r="A126" s="38" t="s">
        <v>832</v>
      </c>
      <c r="B126" s="38">
        <v>86883</v>
      </c>
      <c r="C126" s="13" t="s">
        <v>888</v>
      </c>
      <c r="D126" s="94" t="s">
        <v>77</v>
      </c>
      <c r="E126" s="80">
        <v>1</v>
      </c>
      <c r="F126" s="287">
        <v>9.8699999999999992</v>
      </c>
      <c r="G126" s="305">
        <f t="shared" si="16"/>
        <v>12.337499999999999</v>
      </c>
      <c r="H126" s="78">
        <f t="shared" si="17"/>
        <v>12.337499999999999</v>
      </c>
      <c r="I126" s="28"/>
      <c r="J126" s="329"/>
    </row>
    <row r="127" spans="1:10" s="3" customFormat="1" ht="12.75" customHeight="1" x14ac:dyDescent="0.2">
      <c r="A127" s="350" t="s">
        <v>70</v>
      </c>
      <c r="B127" s="351"/>
      <c r="C127" s="351"/>
      <c r="D127" s="351"/>
      <c r="E127" s="351"/>
      <c r="F127" s="26"/>
      <c r="G127" s="26"/>
      <c r="H127" s="83">
        <f>SUM(H123:H126)</f>
        <v>847.4</v>
      </c>
      <c r="I127" s="28"/>
      <c r="J127" s="329"/>
    </row>
    <row r="128" spans="1:10" s="3" customFormat="1" ht="9" customHeight="1" thickBot="1" x14ac:dyDescent="0.25">
      <c r="A128" s="54"/>
      <c r="B128" s="54"/>
      <c r="C128" s="18"/>
      <c r="D128" s="54"/>
      <c r="E128" s="102"/>
      <c r="F128" s="54"/>
      <c r="G128" s="54"/>
      <c r="H128" s="103"/>
      <c r="J128" s="329"/>
    </row>
    <row r="129" spans="1:10" s="3" customFormat="1" ht="13.5" thickBot="1" x14ac:dyDescent="0.25">
      <c r="A129" s="42" t="s">
        <v>74</v>
      </c>
      <c r="B129" s="42"/>
      <c r="C129" s="11" t="s">
        <v>91</v>
      </c>
      <c r="D129" s="74"/>
      <c r="E129" s="74"/>
      <c r="F129" s="74"/>
      <c r="G129" s="74"/>
      <c r="H129" s="75"/>
      <c r="J129" s="329"/>
    </row>
    <row r="130" spans="1:10" s="3" customFormat="1" ht="24" x14ac:dyDescent="0.2">
      <c r="A130" s="38" t="s">
        <v>75</v>
      </c>
      <c r="B130" s="205" t="s">
        <v>830</v>
      </c>
      <c r="C130" s="20" t="s">
        <v>829</v>
      </c>
      <c r="D130" s="79" t="s">
        <v>77</v>
      </c>
      <c r="E130" s="80">
        <v>3</v>
      </c>
      <c r="F130" s="285">
        <v>163.78</v>
      </c>
      <c r="G130" s="305">
        <f t="shared" ref="G130:G131" si="18">F130*(1+$H$7)</f>
        <v>204.72499999999999</v>
      </c>
      <c r="H130" s="87">
        <f t="shared" ref="H130:H131" si="19">E130*G130</f>
        <v>614.17499999999995</v>
      </c>
      <c r="J130" s="329"/>
    </row>
    <row r="131" spans="1:10" s="3" customFormat="1" ht="36" x14ac:dyDescent="0.2">
      <c r="A131" s="38" t="s">
        <v>76</v>
      </c>
      <c r="B131" s="205" t="s">
        <v>633</v>
      </c>
      <c r="C131" s="20" t="s">
        <v>632</v>
      </c>
      <c r="D131" s="79" t="s">
        <v>77</v>
      </c>
      <c r="E131" s="80">
        <v>6</v>
      </c>
      <c r="F131" s="285">
        <v>33.56</v>
      </c>
      <c r="G131" s="305">
        <f t="shared" si="18"/>
        <v>41.95</v>
      </c>
      <c r="H131" s="87">
        <f t="shared" si="19"/>
        <v>251.70000000000002</v>
      </c>
      <c r="I131" s="28"/>
      <c r="J131" s="329"/>
    </row>
    <row r="132" spans="1:10" s="3" customFormat="1" ht="12.75" customHeight="1" x14ac:dyDescent="0.2">
      <c r="A132" s="350" t="s">
        <v>638</v>
      </c>
      <c r="B132" s="351"/>
      <c r="C132" s="351"/>
      <c r="D132" s="351"/>
      <c r="E132" s="351"/>
      <c r="F132" s="26"/>
      <c r="G132" s="26"/>
      <c r="H132" s="83">
        <f>SUM(H130:H131)</f>
        <v>865.875</v>
      </c>
      <c r="I132" s="28"/>
      <c r="J132" s="329"/>
    </row>
    <row r="133" spans="1:10" s="3" customFormat="1" ht="9" customHeight="1" thickBot="1" x14ac:dyDescent="0.25">
      <c r="A133" s="332"/>
      <c r="B133" s="332"/>
      <c r="C133" s="9"/>
      <c r="D133" s="332"/>
      <c r="E133" s="117"/>
      <c r="F133" s="118"/>
      <c r="G133" s="118"/>
      <c r="H133" s="119"/>
      <c r="J133" s="329"/>
    </row>
    <row r="134" spans="1:10" s="3" customFormat="1" ht="13.5" thickBot="1" x14ac:dyDescent="0.25">
      <c r="A134" s="42" t="s">
        <v>189</v>
      </c>
      <c r="B134" s="42"/>
      <c r="C134" s="11" t="s">
        <v>92</v>
      </c>
      <c r="D134" s="74"/>
      <c r="E134" s="74"/>
      <c r="F134" s="74"/>
      <c r="G134" s="74"/>
      <c r="H134" s="75"/>
      <c r="J134" s="329"/>
    </row>
    <row r="135" spans="1:10" s="3" customFormat="1" x14ac:dyDescent="0.2">
      <c r="A135" s="38" t="s">
        <v>190</v>
      </c>
      <c r="B135" s="38">
        <v>9537</v>
      </c>
      <c r="C135" s="21" t="s">
        <v>634</v>
      </c>
      <c r="D135" s="76" t="s">
        <v>18</v>
      </c>
      <c r="E135" s="77">
        <v>403</v>
      </c>
      <c r="F135" s="286">
        <v>2.06</v>
      </c>
      <c r="G135" s="305">
        <f>F135*(1+$H$7)</f>
        <v>2.5750000000000002</v>
      </c>
      <c r="H135" s="87">
        <f>E135*G135</f>
        <v>1037.7250000000001</v>
      </c>
      <c r="I135" s="28"/>
      <c r="J135" s="329">
        <f>20*20.15</f>
        <v>403</v>
      </c>
    </row>
    <row r="136" spans="1:10" s="3" customFormat="1" ht="12.75" customHeight="1" x14ac:dyDescent="0.2">
      <c r="A136" s="350" t="s">
        <v>2</v>
      </c>
      <c r="B136" s="351"/>
      <c r="C136" s="351"/>
      <c r="D136" s="351"/>
      <c r="E136" s="351"/>
      <c r="F136" s="26"/>
      <c r="G136" s="26"/>
      <c r="H136" s="83">
        <f>H135</f>
        <v>1037.7250000000001</v>
      </c>
      <c r="J136" s="329"/>
    </row>
    <row r="137" spans="1:10" s="3" customFormat="1" ht="9" customHeight="1" x14ac:dyDescent="0.2">
      <c r="A137" s="332"/>
      <c r="B137" s="332"/>
      <c r="C137" s="9"/>
      <c r="D137" s="332"/>
      <c r="E137" s="117"/>
      <c r="F137" s="118"/>
      <c r="G137" s="118"/>
      <c r="H137" s="119"/>
      <c r="J137" s="329"/>
    </row>
    <row r="138" spans="1:10" s="3" customFormat="1" x14ac:dyDescent="0.2">
      <c r="A138" s="317"/>
      <c r="B138" s="318"/>
      <c r="C138" s="107" t="s">
        <v>103</v>
      </c>
      <c r="D138" s="95"/>
      <c r="E138" s="130"/>
      <c r="F138" s="131"/>
      <c r="G138" s="131"/>
      <c r="H138" s="316">
        <f>H18+H22+H27+H36+H43+H48+H55+H67+H61+H77+H97+H106+H120+H127+H132+H136</f>
        <v>213924.97162499998</v>
      </c>
      <c r="J138" s="329"/>
    </row>
    <row r="140" spans="1:10" x14ac:dyDescent="0.2">
      <c r="C140" s="333" t="s">
        <v>797</v>
      </c>
      <c r="F140" s="120"/>
      <c r="G140" s="120"/>
    </row>
    <row r="141" spans="1:10" x14ac:dyDescent="0.2">
      <c r="C141" s="368" t="s">
        <v>733</v>
      </c>
      <c r="D141" s="368"/>
      <c r="E141" s="368"/>
      <c r="F141" s="368"/>
      <c r="G141" s="368"/>
      <c r="H141" s="368"/>
    </row>
    <row r="142" spans="1:10" x14ac:dyDescent="0.2">
      <c r="C142" s="349" t="s">
        <v>245</v>
      </c>
      <c r="D142" s="349"/>
      <c r="E142" s="349"/>
      <c r="F142" s="349"/>
      <c r="G142" s="349"/>
      <c r="H142" s="349"/>
    </row>
    <row r="143" spans="1:10" x14ac:dyDescent="0.2">
      <c r="C143" s="333"/>
    </row>
  </sheetData>
  <mergeCells count="23">
    <mergeCell ref="A127:E127"/>
    <mergeCell ref="A132:E132"/>
    <mergeCell ref="A136:E136"/>
    <mergeCell ref="C142:H142"/>
    <mergeCell ref="C141:H141"/>
    <mergeCell ref="A120:E120"/>
    <mergeCell ref="A22:E22"/>
    <mergeCell ref="A27:E27"/>
    <mergeCell ref="A36:E36"/>
    <mergeCell ref="A43:E43"/>
    <mergeCell ref="A48:E48"/>
    <mergeCell ref="A55:E55"/>
    <mergeCell ref="A61:E61"/>
    <mergeCell ref="A67:E67"/>
    <mergeCell ref="A77:E77"/>
    <mergeCell ref="A97:E97"/>
    <mergeCell ref="A106:E106"/>
    <mergeCell ref="A18:E18"/>
    <mergeCell ref="A1:H1"/>
    <mergeCell ref="A2:H2"/>
    <mergeCell ref="A3:H3"/>
    <mergeCell ref="A4:H4"/>
    <mergeCell ref="F11:H11"/>
  </mergeCells>
  <conditionalFormatting sqref="F127:G127 F18:G18 F27:G27 F36:G36 F120:G120 F106:G107 E107 E12:G12 E88:E93 F97:G97 E82:E85">
    <cfRule type="cellIs" dxfId="6" priority="7" stopIfTrue="1" operator="equal">
      <formula>0</formula>
    </cfRule>
  </conditionalFormatting>
  <conditionalFormatting sqref="E86">
    <cfRule type="cellIs" dxfId="5" priority="6" stopIfTrue="1" operator="equal">
      <formula>0</formula>
    </cfRule>
  </conditionalFormatting>
  <conditionalFormatting sqref="E87">
    <cfRule type="cellIs" dxfId="4" priority="5" stopIfTrue="1" operator="equal">
      <formula>0</formula>
    </cfRule>
  </conditionalFormatting>
  <conditionalFormatting sqref="E81">
    <cfRule type="cellIs" dxfId="3" priority="4" stopIfTrue="1" operator="equal">
      <formula>0</formula>
    </cfRule>
  </conditionalFormatting>
  <conditionalFormatting sqref="E94">
    <cfRule type="cellIs" dxfId="2" priority="3" stopIfTrue="1" operator="equal">
      <formula>0</formula>
    </cfRule>
  </conditionalFormatting>
  <conditionalFormatting sqref="E95">
    <cfRule type="cellIs" dxfId="1" priority="2" stopIfTrue="1" operator="equal">
      <formula>0</formula>
    </cfRule>
  </conditionalFormatting>
  <conditionalFormatting sqref="E96">
    <cfRule type="cellIs" dxfId="0" priority="1" stopIfTrue="1" operator="equal">
      <formula>0</formula>
    </cfRule>
  </conditionalFormatting>
  <pageMargins left="0.19685039370078741" right="0.19685039370078741" top="0.78740157480314965" bottom="0.59055118110236227" header="0.31496062992125984" footer="0.31496062992125984"/>
  <pageSetup paperSize="9" scale="75" orientation="portrait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5"/>
  <sheetViews>
    <sheetView zoomScale="110" zoomScaleNormal="110" workbookViewId="0">
      <selection activeCell="P311" sqref="P311"/>
    </sheetView>
  </sheetViews>
  <sheetFormatPr defaultColWidth="5.28515625" defaultRowHeight="15.75" customHeight="1" x14ac:dyDescent="0.2"/>
  <cols>
    <col min="1" max="1" width="6.42578125" style="29" customWidth="1"/>
    <col min="2" max="2" width="5.28515625" style="136"/>
    <col min="3" max="7" width="5.28515625" style="137"/>
    <col min="8" max="8" width="6.42578125" style="137" customWidth="1"/>
    <col min="9" max="9" width="6.42578125" style="137" bestFit="1" customWidth="1"/>
    <col min="10" max="10" width="6.42578125" style="137" customWidth="1"/>
    <col min="11" max="11" width="6.140625" style="137" customWidth="1"/>
    <col min="12" max="12" width="6.5703125" style="137" customWidth="1"/>
    <col min="13" max="13" width="6.42578125" style="137" bestFit="1" customWidth="1"/>
    <col min="14" max="14" width="5.5703125" style="137" customWidth="1"/>
    <col min="15" max="15" width="6.42578125" style="137" bestFit="1" customWidth="1"/>
    <col min="16" max="16" width="5.5703125" style="137" customWidth="1"/>
    <col min="17" max="18" width="5.28515625" style="137"/>
    <col min="19" max="19" width="6.42578125" style="137" bestFit="1" customWidth="1"/>
    <col min="20" max="23" width="5.28515625" style="138"/>
    <col min="24" max="16384" width="5.28515625" style="139"/>
  </cols>
  <sheetData>
    <row r="1" spans="1:23" ht="15.75" customHeight="1" x14ac:dyDescent="0.2">
      <c r="A1" s="135" t="s">
        <v>250</v>
      </c>
    </row>
    <row r="2" spans="1:23" ht="15.75" customHeight="1" x14ac:dyDescent="0.2">
      <c r="A2" s="29" t="s">
        <v>247</v>
      </c>
    </row>
    <row r="3" spans="1:23" ht="15.75" customHeight="1" x14ac:dyDescent="0.2">
      <c r="A3" s="29" t="s">
        <v>248</v>
      </c>
    </row>
    <row r="4" spans="1:23" ht="15.75" customHeight="1" x14ac:dyDescent="0.2">
      <c r="A4" s="29" t="s">
        <v>249</v>
      </c>
    </row>
    <row r="5" spans="1:23" ht="15.75" customHeight="1" x14ac:dyDescent="0.2">
      <c r="A5" s="29" t="s">
        <v>274</v>
      </c>
    </row>
    <row r="6" spans="1:23" ht="15.75" customHeight="1" x14ac:dyDescent="0.2">
      <c r="A6" s="29" t="s">
        <v>275</v>
      </c>
    </row>
    <row r="7" spans="1:23" ht="15.75" customHeight="1" thickBot="1" x14ac:dyDescent="0.25"/>
    <row r="8" spans="1:23" ht="15.75" customHeight="1" thickBot="1" x14ac:dyDescent="0.25">
      <c r="A8" s="42" t="s">
        <v>4</v>
      </c>
      <c r="B8" s="140" t="s">
        <v>251</v>
      </c>
      <c r="C8" s="74"/>
      <c r="D8" s="74"/>
      <c r="E8" s="74"/>
      <c r="F8" s="74"/>
      <c r="G8" s="75"/>
      <c r="H8" s="141"/>
      <c r="I8" s="142"/>
      <c r="J8" s="142"/>
      <c r="K8" s="142"/>
      <c r="L8" s="142"/>
      <c r="M8" s="142"/>
      <c r="N8" s="142"/>
      <c r="O8" s="142"/>
      <c r="P8" s="142"/>
    </row>
    <row r="9" spans="1:23" ht="15.75" customHeight="1" x14ac:dyDescent="0.2">
      <c r="A9" s="143" t="s">
        <v>6</v>
      </c>
      <c r="B9" s="144" t="s">
        <v>266</v>
      </c>
      <c r="C9" s="142"/>
      <c r="D9" s="142"/>
      <c r="E9" s="142"/>
      <c r="F9" s="142"/>
      <c r="G9" s="142"/>
      <c r="H9" s="142" t="s">
        <v>269</v>
      </c>
      <c r="I9" s="142" t="s">
        <v>273</v>
      </c>
      <c r="J9" s="142" t="s">
        <v>270</v>
      </c>
      <c r="K9" s="142" t="s">
        <v>271</v>
      </c>
      <c r="L9" s="167">
        <f>1.25*2</f>
        <v>2.5</v>
      </c>
      <c r="M9" s="168" t="s">
        <v>140</v>
      </c>
      <c r="N9" s="142"/>
      <c r="O9" s="142"/>
      <c r="P9" s="142"/>
    </row>
    <row r="10" spans="1:23" ht="15.75" customHeight="1" x14ac:dyDescent="0.2">
      <c r="A10" s="145" t="s">
        <v>7</v>
      </c>
      <c r="B10" s="146" t="s">
        <v>272</v>
      </c>
      <c r="C10" s="147"/>
      <c r="D10" s="147"/>
      <c r="E10" s="147"/>
      <c r="F10" s="147"/>
      <c r="G10" s="147"/>
      <c r="H10" s="147" t="s">
        <v>270</v>
      </c>
      <c r="I10" s="147" t="s">
        <v>273</v>
      </c>
      <c r="J10" s="147" t="s">
        <v>758</v>
      </c>
      <c r="K10" s="147" t="s">
        <v>271</v>
      </c>
      <c r="L10" s="164">
        <f>2*3</f>
        <v>6</v>
      </c>
      <c r="M10" s="169" t="s">
        <v>140</v>
      </c>
      <c r="N10" s="147"/>
      <c r="O10" s="147"/>
      <c r="P10" s="147"/>
    </row>
    <row r="11" spans="1:23" ht="15.75" customHeight="1" x14ac:dyDescent="0.2">
      <c r="A11" s="145" t="s">
        <v>8</v>
      </c>
      <c r="B11" s="146" t="s">
        <v>276</v>
      </c>
      <c r="C11" s="147"/>
      <c r="D11" s="147"/>
      <c r="E11" s="147"/>
      <c r="F11" s="147"/>
      <c r="G11" s="147"/>
      <c r="H11" s="147" t="s">
        <v>277</v>
      </c>
      <c r="I11" s="147" t="s">
        <v>273</v>
      </c>
      <c r="J11" s="147">
        <v>22.6</v>
      </c>
      <c r="K11" s="147" t="s">
        <v>271</v>
      </c>
      <c r="L11" s="164">
        <v>122.04</v>
      </c>
      <c r="M11" s="169" t="s">
        <v>140</v>
      </c>
      <c r="N11" s="147"/>
      <c r="O11" s="147"/>
      <c r="P11" s="147"/>
    </row>
    <row r="12" spans="1:23" ht="15.75" customHeight="1" x14ac:dyDescent="0.2">
      <c r="A12" s="145" t="s">
        <v>9</v>
      </c>
      <c r="B12" s="146" t="s">
        <v>278</v>
      </c>
      <c r="C12" s="147"/>
      <c r="D12" s="147"/>
      <c r="E12" s="147"/>
      <c r="F12" s="147"/>
      <c r="G12" s="147"/>
      <c r="H12" s="147">
        <v>22.6</v>
      </c>
      <c r="I12" s="147" t="s">
        <v>273</v>
      </c>
      <c r="J12" s="147">
        <v>0.45</v>
      </c>
      <c r="K12" s="147" t="s">
        <v>273</v>
      </c>
      <c r="L12" s="147">
        <v>0.8</v>
      </c>
      <c r="M12" s="147" t="s">
        <v>271</v>
      </c>
      <c r="N12" s="164">
        <f>H12*J12*L12</f>
        <v>8.136000000000001</v>
      </c>
      <c r="O12" s="169" t="s">
        <v>139</v>
      </c>
      <c r="P12" s="147"/>
    </row>
    <row r="13" spans="1:23" ht="15.75" customHeight="1" x14ac:dyDescent="0.2">
      <c r="A13" s="155" t="s">
        <v>728</v>
      </c>
      <c r="B13" s="156" t="s">
        <v>729</v>
      </c>
      <c r="C13" s="157"/>
      <c r="D13" s="157"/>
      <c r="E13" s="157"/>
      <c r="F13" s="157"/>
      <c r="G13" s="157"/>
      <c r="H13" s="162" t="s">
        <v>730</v>
      </c>
      <c r="I13" s="157"/>
      <c r="J13" s="157"/>
      <c r="K13" s="157"/>
      <c r="L13" s="157"/>
      <c r="M13" s="157"/>
      <c r="N13" s="171" t="s">
        <v>271</v>
      </c>
      <c r="O13" s="171">
        <f>(22.6+22.6+6+5.4+5.4+6)*1.1</f>
        <v>74.800000000000011</v>
      </c>
      <c r="P13" s="177" t="s">
        <v>18</v>
      </c>
    </row>
    <row r="14" spans="1:23" s="196" customFormat="1" ht="15.75" customHeight="1" x14ac:dyDescent="0.2">
      <c r="A14" s="149"/>
      <c r="B14" s="150" t="s">
        <v>732</v>
      </c>
      <c r="C14" s="142"/>
      <c r="D14" s="142"/>
      <c r="E14" s="142"/>
      <c r="F14" s="142"/>
      <c r="G14" s="142"/>
      <c r="H14" s="172" t="s">
        <v>731</v>
      </c>
      <c r="I14" s="142"/>
      <c r="J14" s="142"/>
      <c r="K14" s="142"/>
      <c r="L14" s="142"/>
      <c r="M14" s="142"/>
      <c r="N14" s="167"/>
      <c r="O14" s="168"/>
      <c r="P14" s="142"/>
      <c r="Q14" s="160"/>
      <c r="R14" s="160"/>
      <c r="S14" s="160"/>
      <c r="T14" s="281"/>
      <c r="U14" s="281"/>
      <c r="V14" s="281"/>
      <c r="W14" s="281"/>
    </row>
    <row r="15" spans="1:23" ht="15.75" customHeight="1" thickBot="1" x14ac:dyDescent="0.25">
      <c r="A15" s="48"/>
    </row>
    <row r="16" spans="1:23" ht="15.75" customHeight="1" thickBot="1" x14ac:dyDescent="0.25">
      <c r="A16" s="42" t="s">
        <v>12</v>
      </c>
      <c r="B16" s="140" t="s">
        <v>252</v>
      </c>
      <c r="C16" s="74"/>
      <c r="D16" s="74"/>
      <c r="E16" s="74"/>
      <c r="F16" s="74"/>
      <c r="G16" s="75"/>
      <c r="H16" s="141"/>
      <c r="I16" s="142"/>
      <c r="J16" s="142"/>
      <c r="K16" s="142"/>
      <c r="L16" s="142"/>
      <c r="M16" s="142"/>
      <c r="N16" s="142"/>
      <c r="O16" s="142"/>
      <c r="P16" s="142"/>
    </row>
    <row r="17" spans="1:16" ht="15.75" customHeight="1" x14ac:dyDescent="0.2">
      <c r="A17" s="48" t="s">
        <v>13</v>
      </c>
      <c r="B17" s="136" t="s">
        <v>279</v>
      </c>
      <c r="H17" s="148">
        <v>22.5</v>
      </c>
      <c r="I17" s="137" t="s">
        <v>273</v>
      </c>
      <c r="J17" s="148">
        <v>2.5</v>
      </c>
      <c r="K17" s="137" t="s">
        <v>273</v>
      </c>
      <c r="L17" s="137">
        <v>2</v>
      </c>
      <c r="M17" s="137" t="s">
        <v>283</v>
      </c>
      <c r="N17" s="137" t="s">
        <v>271</v>
      </c>
      <c r="O17" s="165">
        <f>H17*J17*L17/2</f>
        <v>56.25</v>
      </c>
      <c r="P17" s="170" t="s">
        <v>139</v>
      </c>
    </row>
    <row r="18" spans="1:16" ht="15.75" customHeight="1" x14ac:dyDescent="0.2">
      <c r="A18" s="149"/>
      <c r="B18" s="150" t="s">
        <v>280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54"/>
      <c r="N18" s="154"/>
      <c r="O18" s="142"/>
      <c r="P18" s="142"/>
    </row>
    <row r="19" spans="1:16" ht="15.75" customHeight="1" x14ac:dyDescent="0.2">
      <c r="A19" s="155" t="s">
        <v>14</v>
      </c>
      <c r="B19" s="156" t="s">
        <v>284</v>
      </c>
      <c r="C19" s="157"/>
      <c r="D19" s="157"/>
      <c r="E19" s="157"/>
      <c r="F19" s="157"/>
      <c r="G19" s="157"/>
      <c r="H19" s="139"/>
      <c r="I19" s="139"/>
      <c r="J19" s="139"/>
      <c r="K19" s="157"/>
      <c r="L19" s="158"/>
      <c r="M19" s="158"/>
      <c r="N19" s="171">
        <f>SUM(N20:N21)</f>
        <v>61.434000000000012</v>
      </c>
      <c r="O19" s="171" t="s">
        <v>139</v>
      </c>
      <c r="P19" s="139"/>
    </row>
    <row r="20" spans="1:16" ht="15.75" customHeight="1" x14ac:dyDescent="0.2">
      <c r="A20" s="63"/>
      <c r="B20" s="159" t="s">
        <v>286</v>
      </c>
      <c r="C20" s="160"/>
      <c r="D20" s="160"/>
      <c r="E20" s="160"/>
      <c r="F20" s="160"/>
      <c r="G20" s="160"/>
      <c r="H20" s="161">
        <f>(1+0.3)*1.8/2</f>
        <v>1.1700000000000002</v>
      </c>
      <c r="I20" s="163" t="s">
        <v>140</v>
      </c>
      <c r="J20" s="160" t="s">
        <v>273</v>
      </c>
      <c r="K20" s="160">
        <v>38.6</v>
      </c>
      <c r="L20" s="161" t="s">
        <v>47</v>
      </c>
      <c r="M20" s="160" t="s">
        <v>271</v>
      </c>
      <c r="N20" s="161">
        <f>H20*K20</f>
        <v>45.162000000000006</v>
      </c>
      <c r="O20" s="160" t="s">
        <v>139</v>
      </c>
      <c r="P20" s="139"/>
    </row>
    <row r="21" spans="1:16" ht="15.75" customHeight="1" x14ac:dyDescent="0.2">
      <c r="A21" s="149"/>
      <c r="B21" s="150" t="s">
        <v>287</v>
      </c>
      <c r="C21" s="142"/>
      <c r="D21" s="142"/>
      <c r="E21" s="142"/>
      <c r="F21" s="142"/>
      <c r="G21" s="142"/>
      <c r="H21" s="154">
        <v>1.8</v>
      </c>
      <c r="I21" s="154" t="s">
        <v>288</v>
      </c>
      <c r="J21" s="154">
        <v>0.4</v>
      </c>
      <c r="K21" s="154" t="s">
        <v>288</v>
      </c>
      <c r="L21" s="154">
        <v>22.6</v>
      </c>
      <c r="M21" s="154" t="s">
        <v>289</v>
      </c>
      <c r="N21" s="142">
        <f>H21*J21*L21</f>
        <v>16.272000000000002</v>
      </c>
      <c r="O21" s="142" t="s">
        <v>139</v>
      </c>
      <c r="P21" s="151"/>
    </row>
    <row r="22" spans="1:16" ht="15.75" customHeight="1" x14ac:dyDescent="0.2">
      <c r="A22" s="149" t="s">
        <v>282</v>
      </c>
      <c r="B22" s="150" t="s">
        <v>281</v>
      </c>
      <c r="C22" s="142"/>
      <c r="D22" s="142"/>
      <c r="E22" s="142"/>
      <c r="F22" s="142"/>
      <c r="G22" s="142"/>
      <c r="H22" s="154">
        <v>102.48</v>
      </c>
      <c r="I22" s="154" t="s">
        <v>140</v>
      </c>
      <c r="J22" s="154" t="s">
        <v>273</v>
      </c>
      <c r="K22" s="154">
        <v>0.2</v>
      </c>
      <c r="L22" s="154" t="s">
        <v>47</v>
      </c>
      <c r="M22" s="154" t="s">
        <v>271</v>
      </c>
      <c r="N22" s="154">
        <f>102.48*0.2</f>
        <v>20.496000000000002</v>
      </c>
      <c r="O22" s="142" t="s">
        <v>139</v>
      </c>
      <c r="P22" s="142"/>
    </row>
    <row r="23" spans="1:16" ht="15.75" customHeight="1" thickBot="1" x14ac:dyDescent="0.25">
      <c r="A23" s="48"/>
    </row>
    <row r="24" spans="1:16" ht="15.75" customHeight="1" thickBot="1" x14ac:dyDescent="0.25">
      <c r="A24" s="42" t="s">
        <v>17</v>
      </c>
      <c r="B24" s="140" t="s">
        <v>253</v>
      </c>
      <c r="C24" s="74"/>
      <c r="D24" s="74"/>
      <c r="E24" s="74"/>
      <c r="F24" s="74"/>
      <c r="G24" s="75"/>
      <c r="H24" s="142"/>
      <c r="I24" s="142"/>
      <c r="J24" s="142"/>
      <c r="K24" s="142"/>
      <c r="L24" s="142"/>
      <c r="M24" s="142"/>
      <c r="N24" s="142"/>
      <c r="O24" s="142"/>
      <c r="P24" s="142"/>
    </row>
    <row r="25" spans="1:16" ht="15.75" customHeight="1" x14ac:dyDescent="0.2">
      <c r="A25" s="176" t="s">
        <v>21</v>
      </c>
      <c r="B25" s="97" t="s">
        <v>290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</row>
    <row r="26" spans="1:16" ht="15.75" customHeight="1" x14ac:dyDescent="0.2">
      <c r="A26" s="48" t="s">
        <v>22</v>
      </c>
      <c r="B26" s="136" t="s">
        <v>291</v>
      </c>
      <c r="H26" s="137">
        <v>13</v>
      </c>
      <c r="I26" s="137" t="s">
        <v>77</v>
      </c>
      <c r="J26" s="148" t="s">
        <v>292</v>
      </c>
      <c r="L26" s="137">
        <f>13*0.8*0.8*1</f>
        <v>8.32</v>
      </c>
      <c r="M26" s="137" t="s">
        <v>139</v>
      </c>
    </row>
    <row r="27" spans="1:16" ht="15.75" customHeight="1" x14ac:dyDescent="0.2">
      <c r="A27" s="48"/>
      <c r="B27" s="136" t="s">
        <v>293</v>
      </c>
      <c r="H27" s="137">
        <v>6</v>
      </c>
      <c r="I27" s="137" t="s">
        <v>77</v>
      </c>
      <c r="J27" s="148" t="s">
        <v>294</v>
      </c>
      <c r="L27" s="137">
        <f>6*1*1*1</f>
        <v>6</v>
      </c>
      <c r="M27" s="137" t="s">
        <v>139</v>
      </c>
    </row>
    <row r="28" spans="1:16" ht="15.75" customHeight="1" x14ac:dyDescent="0.2">
      <c r="A28" s="149"/>
      <c r="B28" s="150"/>
      <c r="C28" s="142"/>
      <c r="D28" s="142"/>
      <c r="E28" s="142"/>
      <c r="F28" s="142"/>
      <c r="G28" s="142"/>
      <c r="H28" s="142">
        <v>2</v>
      </c>
      <c r="I28" s="142" t="s">
        <v>77</v>
      </c>
      <c r="J28" s="172" t="s">
        <v>295</v>
      </c>
      <c r="K28" s="142"/>
      <c r="L28" s="142">
        <f>2*1.2*1*1</f>
        <v>2.4</v>
      </c>
      <c r="M28" s="142" t="s">
        <v>139</v>
      </c>
      <c r="N28" s="142"/>
      <c r="O28" s="167">
        <f>SUM(L26:L28)</f>
        <v>16.72</v>
      </c>
      <c r="P28" s="168" t="s">
        <v>139</v>
      </c>
    </row>
    <row r="29" spans="1:16" ht="15.75" customHeight="1" x14ac:dyDescent="0.2">
      <c r="A29" s="63" t="s">
        <v>15</v>
      </c>
      <c r="B29" s="159" t="s">
        <v>296</v>
      </c>
      <c r="C29" s="160"/>
      <c r="D29" s="160"/>
      <c r="E29" s="160"/>
      <c r="F29" s="160"/>
      <c r="G29" s="160"/>
      <c r="H29" s="160"/>
      <c r="I29" s="160"/>
      <c r="J29" s="163"/>
      <c r="K29" s="160"/>
      <c r="L29" s="160"/>
      <c r="M29" s="160"/>
      <c r="N29" s="160"/>
      <c r="O29" s="173"/>
      <c r="P29" s="175"/>
    </row>
    <row r="30" spans="1:16" ht="15.75" customHeight="1" x14ac:dyDescent="0.2">
      <c r="A30" s="149"/>
      <c r="B30" s="150" t="s">
        <v>297</v>
      </c>
      <c r="C30" s="142"/>
      <c r="D30" s="142"/>
      <c r="E30" s="142"/>
      <c r="F30" s="142"/>
      <c r="G30" s="142"/>
      <c r="H30" s="142">
        <f>13*0.8*0.8+6*1*1+2*1.2*1</f>
        <v>16.72</v>
      </c>
      <c r="I30" s="172" t="s">
        <v>140</v>
      </c>
      <c r="J30" s="142" t="s">
        <v>273</v>
      </c>
      <c r="K30" s="142">
        <v>0.1</v>
      </c>
      <c r="L30" s="172" t="s">
        <v>47</v>
      </c>
      <c r="M30" s="142"/>
      <c r="N30" s="142" t="s">
        <v>271</v>
      </c>
      <c r="O30" s="167">
        <f>H30*K30</f>
        <v>1.6719999999999999</v>
      </c>
      <c r="P30" s="168" t="s">
        <v>139</v>
      </c>
    </row>
    <row r="31" spans="1:16" ht="15.75" customHeight="1" x14ac:dyDescent="0.2">
      <c r="A31" s="145" t="s">
        <v>93</v>
      </c>
      <c r="B31" s="146" t="s">
        <v>298</v>
      </c>
      <c r="C31" s="147"/>
      <c r="D31" s="147"/>
      <c r="E31" s="147"/>
      <c r="F31" s="147"/>
      <c r="G31" s="147"/>
      <c r="H31" s="164">
        <f>13*4*0.8*0.3+6*4*1*0.3+2*(2*1.2+2*1)*0.3</f>
        <v>22.32</v>
      </c>
      <c r="I31" s="169" t="s">
        <v>140</v>
      </c>
      <c r="J31" s="174"/>
      <c r="K31" s="174" t="s">
        <v>299</v>
      </c>
      <c r="L31" s="147"/>
      <c r="M31" s="147"/>
      <c r="N31" s="147"/>
      <c r="O31" s="164"/>
      <c r="P31" s="169"/>
    </row>
    <row r="32" spans="1:16" ht="15.75" customHeight="1" x14ac:dyDescent="0.2">
      <c r="A32" s="145" t="s">
        <v>94</v>
      </c>
      <c r="B32" s="146" t="s">
        <v>301</v>
      </c>
      <c r="C32" s="147"/>
      <c r="D32" s="147"/>
      <c r="E32" s="147"/>
      <c r="F32" s="147"/>
      <c r="G32" s="147"/>
      <c r="H32" s="147"/>
      <c r="I32" s="147"/>
      <c r="J32" s="174"/>
      <c r="K32" s="147"/>
      <c r="L32" s="169" t="s">
        <v>300</v>
      </c>
      <c r="M32" s="152"/>
      <c r="N32" s="147" t="s">
        <v>302</v>
      </c>
      <c r="O32" s="164"/>
      <c r="P32" s="169"/>
    </row>
    <row r="33" spans="1:16" ht="15.75" customHeight="1" x14ac:dyDescent="0.2">
      <c r="A33" s="48" t="s">
        <v>96</v>
      </c>
      <c r="B33" s="136" t="s">
        <v>303</v>
      </c>
      <c r="H33" s="137">
        <v>13</v>
      </c>
      <c r="I33" s="137" t="s">
        <v>77</v>
      </c>
      <c r="J33" s="148" t="s">
        <v>292</v>
      </c>
      <c r="L33" s="137">
        <f>13*0.8*0.8*0.3</f>
        <v>2.496</v>
      </c>
      <c r="M33" s="137" t="s">
        <v>139</v>
      </c>
      <c r="P33" s="148"/>
    </row>
    <row r="34" spans="1:16" ht="15.75" customHeight="1" x14ac:dyDescent="0.2">
      <c r="A34" s="48"/>
      <c r="B34" s="136" t="s">
        <v>304</v>
      </c>
      <c r="H34" s="137">
        <v>6</v>
      </c>
      <c r="I34" s="137" t="s">
        <v>77</v>
      </c>
      <c r="J34" s="148" t="s">
        <v>294</v>
      </c>
      <c r="L34" s="137">
        <f>6*1*1*0.3</f>
        <v>1.7999999999999998</v>
      </c>
      <c r="M34" s="137" t="s">
        <v>139</v>
      </c>
      <c r="P34" s="148"/>
    </row>
    <row r="35" spans="1:16" ht="15.75" customHeight="1" x14ac:dyDescent="0.2">
      <c r="A35" s="149"/>
      <c r="B35" s="150"/>
      <c r="C35" s="142"/>
      <c r="D35" s="142"/>
      <c r="E35" s="142"/>
      <c r="F35" s="142"/>
      <c r="G35" s="142"/>
      <c r="H35" s="142">
        <v>2</v>
      </c>
      <c r="I35" s="142" t="s">
        <v>77</v>
      </c>
      <c r="J35" s="172" t="s">
        <v>295</v>
      </c>
      <c r="K35" s="142"/>
      <c r="L35" s="142">
        <f>2*1.2*1*0.3</f>
        <v>0.72</v>
      </c>
      <c r="M35" s="142" t="s">
        <v>139</v>
      </c>
      <c r="N35" s="142"/>
      <c r="O35" s="167">
        <f>SUM(L33:L35)</f>
        <v>5.0159999999999991</v>
      </c>
      <c r="P35" s="168" t="s">
        <v>139</v>
      </c>
    </row>
    <row r="36" spans="1:16" ht="15.75" customHeight="1" x14ac:dyDescent="0.2">
      <c r="A36" s="145" t="s">
        <v>97</v>
      </c>
      <c r="B36" s="146" t="s">
        <v>305</v>
      </c>
      <c r="C36" s="147"/>
      <c r="D36" s="147"/>
      <c r="E36" s="147"/>
      <c r="F36" s="147"/>
      <c r="G36" s="147"/>
      <c r="H36" s="164">
        <v>5.0199999999999996</v>
      </c>
      <c r="I36" s="164" t="s">
        <v>139</v>
      </c>
      <c r="J36" s="174"/>
      <c r="K36" s="147"/>
      <c r="L36" s="147"/>
      <c r="M36" s="147"/>
      <c r="N36" s="147"/>
      <c r="O36" s="164"/>
      <c r="P36" s="169"/>
    </row>
    <row r="37" spans="1:16" ht="15.75" customHeight="1" x14ac:dyDescent="0.2">
      <c r="A37" s="63" t="s">
        <v>106</v>
      </c>
      <c r="B37" s="159" t="s">
        <v>306</v>
      </c>
      <c r="C37" s="160"/>
      <c r="D37" s="160"/>
      <c r="E37" s="160"/>
      <c r="F37" s="160"/>
      <c r="G37" s="160"/>
      <c r="H37" s="160">
        <v>16.72</v>
      </c>
      <c r="I37" s="160" t="s">
        <v>139</v>
      </c>
      <c r="J37" s="163" t="s">
        <v>308</v>
      </c>
      <c r="K37" s="160">
        <v>5.0199999999999996</v>
      </c>
      <c r="L37" s="160" t="s">
        <v>139</v>
      </c>
      <c r="M37" s="160" t="s">
        <v>308</v>
      </c>
      <c r="N37" s="160">
        <v>1.36</v>
      </c>
      <c r="O37" s="160" t="s">
        <v>139</v>
      </c>
      <c r="P37" s="175"/>
    </row>
    <row r="38" spans="1:16" ht="15.75" customHeight="1" x14ac:dyDescent="0.2">
      <c r="A38" s="149"/>
      <c r="B38" s="150" t="s">
        <v>307</v>
      </c>
      <c r="C38" s="142"/>
      <c r="D38" s="142"/>
      <c r="E38" s="142"/>
      <c r="F38" s="142"/>
      <c r="G38" s="142"/>
      <c r="H38" s="142"/>
      <c r="I38" s="142"/>
      <c r="J38" s="172"/>
      <c r="K38" s="142"/>
      <c r="L38" s="142"/>
      <c r="M38" s="142"/>
      <c r="N38" s="142" t="s">
        <v>271</v>
      </c>
      <c r="O38" s="167">
        <f>H37-K37-N37</f>
        <v>10.34</v>
      </c>
      <c r="P38" s="168" t="s">
        <v>139</v>
      </c>
    </row>
    <row r="39" spans="1:16" ht="15.75" customHeight="1" x14ac:dyDescent="0.2">
      <c r="A39" s="91" t="s">
        <v>23</v>
      </c>
      <c r="B39" s="90" t="s">
        <v>309</v>
      </c>
      <c r="C39" s="147"/>
      <c r="D39" s="147"/>
      <c r="E39" s="147"/>
      <c r="F39" s="147"/>
      <c r="G39" s="147"/>
      <c r="H39" s="147"/>
      <c r="I39" s="147"/>
      <c r="J39" s="174"/>
      <c r="K39" s="147"/>
      <c r="L39" s="147"/>
      <c r="M39" s="147"/>
      <c r="N39" s="147"/>
      <c r="O39" s="164"/>
      <c r="P39" s="169"/>
    </row>
    <row r="40" spans="1:16" ht="15.75" customHeight="1" x14ac:dyDescent="0.2">
      <c r="A40" s="63" t="s">
        <v>24</v>
      </c>
      <c r="B40" s="159" t="s">
        <v>310</v>
      </c>
      <c r="C40" s="160"/>
      <c r="D40" s="160"/>
      <c r="E40" s="160"/>
      <c r="F40" s="160"/>
      <c r="G40" s="160"/>
      <c r="H40" s="160"/>
      <c r="I40" s="160"/>
      <c r="J40" s="163"/>
      <c r="K40" s="160"/>
      <c r="L40" s="160"/>
      <c r="M40" s="160"/>
      <c r="N40" s="160"/>
      <c r="O40" s="173"/>
      <c r="P40" s="175"/>
    </row>
    <row r="41" spans="1:16" ht="15.75" customHeight="1" x14ac:dyDescent="0.2">
      <c r="A41" s="63"/>
      <c r="B41" s="159" t="s">
        <v>311</v>
      </c>
      <c r="C41" s="160"/>
      <c r="D41" s="160"/>
      <c r="E41" s="160"/>
      <c r="F41" s="160"/>
      <c r="G41" s="160"/>
      <c r="H41" s="160"/>
      <c r="I41" s="160">
        <f>5.4+0.2+4.35+4.35+4.35+4.35+2.15+2.4+1.75+2.4+1.75+2.4+2.4+2.15+4.35+2.8+5.4+22.1+1.4+1.4+1.45+1.45+1.45+3.75+1.7+3.75+1.8+20.1+1.9</f>
        <v>115.20000000000002</v>
      </c>
      <c r="J41" s="163" t="s">
        <v>47</v>
      </c>
      <c r="K41" s="160"/>
      <c r="L41" s="160"/>
      <c r="M41" s="160"/>
      <c r="N41" s="160"/>
      <c r="O41" s="173"/>
      <c r="P41" s="175"/>
    </row>
    <row r="42" spans="1:16" ht="15.75" customHeight="1" x14ac:dyDescent="0.2">
      <c r="A42" s="149"/>
      <c r="B42" s="150" t="s">
        <v>312</v>
      </c>
      <c r="C42" s="142"/>
      <c r="D42" s="142"/>
      <c r="E42" s="142"/>
      <c r="F42" s="142"/>
      <c r="G42" s="142"/>
      <c r="H42" s="142"/>
      <c r="I42" s="142">
        <f>I41</f>
        <v>115.20000000000002</v>
      </c>
      <c r="J42" s="142" t="s">
        <v>273</v>
      </c>
      <c r="K42" s="142">
        <v>0.4</v>
      </c>
      <c r="L42" s="142" t="s">
        <v>273</v>
      </c>
      <c r="M42" s="142">
        <v>0.4</v>
      </c>
      <c r="N42" s="142" t="s">
        <v>271</v>
      </c>
      <c r="O42" s="167">
        <f>I42*K42*M42</f>
        <v>18.432000000000006</v>
      </c>
      <c r="P42" s="168" t="s">
        <v>139</v>
      </c>
    </row>
    <row r="43" spans="1:16" ht="15.75" customHeight="1" x14ac:dyDescent="0.2">
      <c r="A43" s="155" t="s">
        <v>16</v>
      </c>
      <c r="B43" s="156" t="s">
        <v>313</v>
      </c>
      <c r="C43" s="157"/>
      <c r="D43" s="157"/>
      <c r="E43" s="157"/>
      <c r="F43" s="157"/>
      <c r="G43" s="157"/>
      <c r="H43" s="157"/>
      <c r="P43" s="148"/>
    </row>
    <row r="44" spans="1:16" ht="15.75" customHeight="1" x14ac:dyDescent="0.2">
      <c r="A44" s="149"/>
      <c r="B44" s="150" t="s">
        <v>314</v>
      </c>
      <c r="C44" s="142"/>
      <c r="D44" s="142"/>
      <c r="E44" s="142"/>
      <c r="F44" s="142"/>
      <c r="G44" s="142"/>
      <c r="H44" s="142"/>
      <c r="I44" s="142">
        <f>I41</f>
        <v>115.20000000000002</v>
      </c>
      <c r="J44" s="142" t="s">
        <v>273</v>
      </c>
      <c r="K44" s="142">
        <v>0.4</v>
      </c>
      <c r="L44" s="142" t="s">
        <v>273</v>
      </c>
      <c r="M44" s="142">
        <v>0.08</v>
      </c>
      <c r="N44" s="142" t="s">
        <v>271</v>
      </c>
      <c r="O44" s="167">
        <f>I44*K44*M44</f>
        <v>3.6864000000000012</v>
      </c>
      <c r="P44" s="168" t="s">
        <v>139</v>
      </c>
    </row>
    <row r="45" spans="1:16" ht="15.75" customHeight="1" x14ac:dyDescent="0.2">
      <c r="A45" s="155" t="s">
        <v>98</v>
      </c>
      <c r="B45" s="156" t="s">
        <v>315</v>
      </c>
      <c r="C45" s="157"/>
      <c r="D45" s="157"/>
      <c r="E45" s="157"/>
      <c r="F45" s="157"/>
      <c r="G45" s="157"/>
      <c r="H45" s="171">
        <f>16*(2*0.3+2*0.2)*0.3+5*(2*0.4+2*0.2)*0.3</f>
        <v>6.6</v>
      </c>
      <c r="I45" s="177" t="s">
        <v>140</v>
      </c>
      <c r="J45" s="162"/>
      <c r="K45" s="162" t="s">
        <v>299</v>
      </c>
      <c r="L45" s="157"/>
      <c r="M45" s="157"/>
      <c r="N45" s="157"/>
      <c r="O45" s="171"/>
      <c r="P45" s="171"/>
    </row>
    <row r="46" spans="1:16" ht="15.75" customHeight="1" x14ac:dyDescent="0.2">
      <c r="A46" s="149"/>
      <c r="B46" s="150" t="s">
        <v>737</v>
      </c>
      <c r="C46" s="142"/>
      <c r="D46" s="142"/>
      <c r="E46" s="142"/>
      <c r="F46" s="142"/>
      <c r="G46" s="142"/>
      <c r="H46" s="172" t="s">
        <v>736</v>
      </c>
      <c r="I46" s="168"/>
      <c r="J46" s="172"/>
      <c r="K46" s="172"/>
      <c r="L46" s="142"/>
      <c r="M46" s="142"/>
      <c r="N46" s="142"/>
      <c r="O46" s="167"/>
      <c r="P46" s="167"/>
    </row>
    <row r="47" spans="1:16" ht="15.75" customHeight="1" x14ac:dyDescent="0.2">
      <c r="A47" s="63" t="s">
        <v>105</v>
      </c>
      <c r="B47" s="159" t="s">
        <v>316</v>
      </c>
      <c r="C47" s="160"/>
      <c r="D47" s="160"/>
      <c r="E47" s="160"/>
      <c r="F47" s="160"/>
      <c r="G47" s="160"/>
      <c r="H47" s="173">
        <f>I41*2*0.4</f>
        <v>92.160000000000025</v>
      </c>
      <c r="I47" s="175" t="s">
        <v>140</v>
      </c>
      <c r="J47" s="163"/>
      <c r="K47" s="163" t="s">
        <v>299</v>
      </c>
      <c r="L47" s="160"/>
      <c r="M47" s="160"/>
      <c r="N47" s="160"/>
      <c r="O47" s="173"/>
      <c r="P47" s="173"/>
    </row>
    <row r="48" spans="1:16" ht="15.75" customHeight="1" x14ac:dyDescent="0.2">
      <c r="A48" s="149"/>
      <c r="B48" s="150" t="s">
        <v>317</v>
      </c>
      <c r="C48" s="142"/>
      <c r="D48" s="142"/>
      <c r="E48" s="142"/>
      <c r="F48" s="142"/>
      <c r="G48" s="142"/>
      <c r="H48" s="142"/>
      <c r="I48" s="142"/>
      <c r="J48" s="172"/>
      <c r="K48" s="142"/>
      <c r="L48" s="142"/>
      <c r="M48" s="142"/>
      <c r="N48" s="142"/>
      <c r="O48" s="167"/>
      <c r="P48" s="167"/>
    </row>
    <row r="49" spans="1:16" ht="15.75" customHeight="1" x14ac:dyDescent="0.2">
      <c r="A49" s="145" t="s">
        <v>107</v>
      </c>
      <c r="B49" s="146" t="s">
        <v>319</v>
      </c>
      <c r="C49" s="147"/>
      <c r="D49" s="147"/>
      <c r="E49" s="147"/>
      <c r="F49" s="147"/>
      <c r="G49" s="147"/>
      <c r="H49" s="147"/>
      <c r="I49" s="147"/>
      <c r="J49" s="174" t="s">
        <v>323</v>
      </c>
      <c r="K49" s="174">
        <v>22.8</v>
      </c>
      <c r="L49" s="147" t="s">
        <v>324</v>
      </c>
      <c r="M49" s="147">
        <v>131.1</v>
      </c>
      <c r="N49" s="147" t="s">
        <v>271</v>
      </c>
      <c r="O49" s="164">
        <f>K49+M49</f>
        <v>153.9</v>
      </c>
      <c r="P49" s="169" t="s">
        <v>95</v>
      </c>
    </row>
    <row r="50" spans="1:16" ht="15.75" customHeight="1" x14ac:dyDescent="0.2">
      <c r="A50" s="145" t="s">
        <v>110</v>
      </c>
      <c r="B50" s="146" t="s">
        <v>321</v>
      </c>
      <c r="C50" s="147"/>
      <c r="D50" s="147"/>
      <c r="E50" s="147"/>
      <c r="F50" s="147"/>
      <c r="G50" s="147"/>
      <c r="H50" s="147"/>
      <c r="I50" s="147"/>
      <c r="J50" s="174" t="s">
        <v>323</v>
      </c>
      <c r="K50" s="174"/>
      <c r="L50" s="147" t="s">
        <v>324</v>
      </c>
      <c r="M50" s="147">
        <v>210.3</v>
      </c>
      <c r="N50" s="147" t="s">
        <v>271</v>
      </c>
      <c r="O50" s="164">
        <f>K50+M50</f>
        <v>210.3</v>
      </c>
      <c r="P50" s="169" t="s">
        <v>95</v>
      </c>
    </row>
    <row r="51" spans="1:16" ht="15.75" customHeight="1" x14ac:dyDescent="0.2">
      <c r="A51" s="145" t="s">
        <v>111</v>
      </c>
      <c r="B51" s="146" t="s">
        <v>322</v>
      </c>
      <c r="C51" s="147"/>
      <c r="D51" s="147"/>
      <c r="E51" s="147"/>
      <c r="F51" s="147"/>
      <c r="G51" s="147"/>
      <c r="H51" s="147"/>
      <c r="I51" s="147"/>
      <c r="J51" s="174" t="s">
        <v>323</v>
      </c>
      <c r="K51" s="174">
        <v>155</v>
      </c>
      <c r="L51" s="147" t="s">
        <v>324</v>
      </c>
      <c r="M51" s="147">
        <v>204.4</v>
      </c>
      <c r="N51" s="147" t="s">
        <v>271</v>
      </c>
      <c r="O51" s="164">
        <f>K51+M51</f>
        <v>359.4</v>
      </c>
      <c r="P51" s="169" t="s">
        <v>95</v>
      </c>
    </row>
    <row r="52" spans="1:16" ht="15.75" customHeight="1" x14ac:dyDescent="0.2">
      <c r="A52" s="145" t="s">
        <v>112</v>
      </c>
      <c r="B52" s="146" t="s">
        <v>325</v>
      </c>
      <c r="C52" s="147"/>
      <c r="D52" s="147"/>
      <c r="E52" s="147"/>
      <c r="F52" s="147"/>
      <c r="G52" s="147"/>
      <c r="H52" s="147"/>
      <c r="I52" s="147"/>
      <c r="J52" s="174" t="s">
        <v>323</v>
      </c>
      <c r="K52" s="147">
        <f>16*0.2*0.3*0.3+5*0.2*0.4*0.3</f>
        <v>0.40799999999999997</v>
      </c>
      <c r="L52" s="147" t="s">
        <v>324</v>
      </c>
      <c r="M52" s="147">
        <f>I41*0.2*0.4</f>
        <v>9.2160000000000029</v>
      </c>
      <c r="N52" s="147" t="s">
        <v>271</v>
      </c>
      <c r="O52" s="164">
        <f>K52+M52</f>
        <v>9.6240000000000023</v>
      </c>
      <c r="P52" s="169" t="s">
        <v>139</v>
      </c>
    </row>
    <row r="53" spans="1:16" ht="15.75" customHeight="1" x14ac:dyDescent="0.2">
      <c r="A53" s="145" t="s">
        <v>318</v>
      </c>
      <c r="B53" s="146" t="s">
        <v>326</v>
      </c>
      <c r="C53" s="147"/>
      <c r="D53" s="147"/>
      <c r="E53" s="147"/>
      <c r="F53" s="147"/>
      <c r="G53" s="147"/>
      <c r="H53" s="147"/>
      <c r="I53" s="147"/>
      <c r="J53" s="162" t="s">
        <v>299</v>
      </c>
      <c r="K53" s="147"/>
      <c r="L53" s="147"/>
      <c r="M53" s="147"/>
      <c r="N53" s="147"/>
      <c r="O53" s="164">
        <f>O52</f>
        <v>9.6240000000000023</v>
      </c>
      <c r="P53" s="169" t="s">
        <v>139</v>
      </c>
    </row>
    <row r="54" spans="1:16" ht="15.75" customHeight="1" x14ac:dyDescent="0.2">
      <c r="A54" s="91" t="s">
        <v>327</v>
      </c>
      <c r="B54" s="90" t="s">
        <v>334</v>
      </c>
      <c r="C54" s="147"/>
      <c r="D54" s="147"/>
      <c r="E54" s="147"/>
      <c r="F54" s="147"/>
      <c r="G54" s="147"/>
      <c r="H54" s="147"/>
      <c r="I54" s="147"/>
      <c r="J54" s="174"/>
      <c r="K54" s="147"/>
      <c r="L54" s="147"/>
      <c r="M54" s="147"/>
      <c r="N54" s="147"/>
      <c r="O54" s="164"/>
      <c r="P54" s="169"/>
    </row>
    <row r="55" spans="1:16" ht="15.75" customHeight="1" x14ac:dyDescent="0.2">
      <c r="A55" s="63" t="s">
        <v>328</v>
      </c>
      <c r="B55" s="159" t="s">
        <v>335</v>
      </c>
      <c r="C55" s="160"/>
      <c r="D55" s="160"/>
      <c r="E55" s="160"/>
      <c r="F55" s="160"/>
      <c r="G55" s="160"/>
      <c r="H55" s="160">
        <v>2</v>
      </c>
      <c r="I55" s="160">
        <v>2.4</v>
      </c>
      <c r="J55" s="163">
        <v>2.4</v>
      </c>
      <c r="K55" s="160">
        <v>2</v>
      </c>
      <c r="L55" s="160">
        <v>6</v>
      </c>
      <c r="M55" s="160">
        <v>12.4</v>
      </c>
      <c r="N55" s="160" t="s">
        <v>271</v>
      </c>
      <c r="O55" s="160">
        <f>SUM(H55:M55)</f>
        <v>27.200000000000003</v>
      </c>
      <c r="P55" s="163" t="s">
        <v>47</v>
      </c>
    </row>
    <row r="56" spans="1:16" ht="15.75" customHeight="1" x14ac:dyDescent="0.2">
      <c r="A56" s="149"/>
      <c r="B56" s="150" t="s">
        <v>336</v>
      </c>
      <c r="C56" s="142"/>
      <c r="D56" s="142"/>
      <c r="E56" s="142"/>
      <c r="F56" s="142"/>
      <c r="G56" s="142"/>
      <c r="H56" s="142"/>
      <c r="I56" s="142"/>
      <c r="J56" s="172"/>
      <c r="K56" s="142"/>
      <c r="L56" s="142"/>
      <c r="M56" s="142"/>
      <c r="N56" s="142"/>
      <c r="O56" s="167">
        <f>O55*0.6*0.15</f>
        <v>2.448</v>
      </c>
      <c r="P56" s="168" t="s">
        <v>139</v>
      </c>
    </row>
    <row r="57" spans="1:16" ht="15.75" customHeight="1" x14ac:dyDescent="0.2">
      <c r="A57" s="63" t="s">
        <v>329</v>
      </c>
      <c r="B57" s="159" t="s">
        <v>337</v>
      </c>
      <c r="C57" s="160"/>
      <c r="D57" s="160"/>
      <c r="E57" s="160"/>
      <c r="F57" s="160"/>
      <c r="G57" s="160"/>
      <c r="H57" s="160"/>
      <c r="I57" s="160"/>
      <c r="J57" s="139"/>
      <c r="K57" s="160"/>
      <c r="L57" s="160"/>
      <c r="M57" s="160"/>
      <c r="N57" s="160"/>
      <c r="O57" s="173"/>
      <c r="P57" s="175"/>
    </row>
    <row r="58" spans="1:16" ht="15.75" customHeight="1" x14ac:dyDescent="0.2">
      <c r="A58" s="63"/>
      <c r="B58" s="163" t="s">
        <v>338</v>
      </c>
      <c r="C58" s="160"/>
      <c r="D58" s="160"/>
      <c r="E58" s="160"/>
      <c r="F58" s="160"/>
      <c r="G58" s="160">
        <f>O55</f>
        <v>27.200000000000003</v>
      </c>
      <c r="H58" s="160" t="s">
        <v>273</v>
      </c>
      <c r="I58" s="163" t="s">
        <v>339</v>
      </c>
      <c r="J58" s="160" t="s">
        <v>285</v>
      </c>
      <c r="K58" s="160">
        <v>181</v>
      </c>
      <c r="L58" s="160" t="s">
        <v>273</v>
      </c>
      <c r="M58" s="160">
        <v>0.5</v>
      </c>
      <c r="N58" s="173" t="s">
        <v>271</v>
      </c>
      <c r="O58" s="29">
        <f>G58*4+K58*0.5</f>
        <v>199.3</v>
      </c>
      <c r="P58" s="163" t="s">
        <v>47</v>
      </c>
    </row>
    <row r="59" spans="1:16" ht="15.75" customHeight="1" x14ac:dyDescent="0.2">
      <c r="A59" s="149"/>
      <c r="B59" s="150" t="s">
        <v>340</v>
      </c>
      <c r="C59" s="142"/>
      <c r="D59" s="142"/>
      <c r="E59" s="142"/>
      <c r="F59" s="142"/>
      <c r="G59" s="142"/>
      <c r="H59" s="142"/>
      <c r="I59" s="142"/>
      <c r="J59" s="172"/>
      <c r="K59" s="142"/>
      <c r="L59" s="142"/>
      <c r="M59" s="142"/>
      <c r="N59" s="142" t="s">
        <v>271</v>
      </c>
      <c r="O59" s="167">
        <f>O58*0.154</f>
        <v>30.6922</v>
      </c>
      <c r="P59" s="168" t="s">
        <v>95</v>
      </c>
    </row>
    <row r="60" spans="1:16" ht="15.75" customHeight="1" x14ac:dyDescent="0.2">
      <c r="A60" s="63" t="s">
        <v>330</v>
      </c>
      <c r="B60" s="159" t="s">
        <v>341</v>
      </c>
      <c r="C60" s="160"/>
      <c r="D60" s="160"/>
      <c r="E60" s="160"/>
      <c r="F60" s="160"/>
      <c r="G60" s="160"/>
      <c r="H60" s="160"/>
      <c r="I60" s="163"/>
      <c r="J60" s="160"/>
      <c r="K60" s="163"/>
      <c r="L60" s="163"/>
      <c r="M60" s="139"/>
      <c r="N60" s="160" t="s">
        <v>271</v>
      </c>
      <c r="O60" s="173">
        <f>SUM(L61:L62)</f>
        <v>26.52</v>
      </c>
      <c r="P60" s="175" t="s">
        <v>140</v>
      </c>
    </row>
    <row r="61" spans="1:16" ht="15.75" customHeight="1" x14ac:dyDescent="0.2">
      <c r="A61" s="63"/>
      <c r="B61" s="159" t="s">
        <v>342</v>
      </c>
      <c r="C61" s="160"/>
      <c r="D61" s="160"/>
      <c r="E61" s="160"/>
      <c r="F61" s="160"/>
      <c r="G61" s="160"/>
      <c r="H61" s="160"/>
      <c r="I61" s="160"/>
      <c r="J61" s="163"/>
      <c r="K61" s="160" t="s">
        <v>271</v>
      </c>
      <c r="L61" s="160">
        <f>2*17*0.3</f>
        <v>10.199999999999999</v>
      </c>
      <c r="M61" s="163" t="s">
        <v>140</v>
      </c>
      <c r="N61" s="139"/>
      <c r="O61" s="139"/>
      <c r="P61" s="139"/>
    </row>
    <row r="62" spans="1:16" ht="15.75" customHeight="1" x14ac:dyDescent="0.2">
      <c r="A62" s="149"/>
      <c r="B62" s="150" t="s">
        <v>343</v>
      </c>
      <c r="C62" s="142"/>
      <c r="D62" s="142"/>
      <c r="E62" s="142"/>
      <c r="F62" s="142"/>
      <c r="G62" s="142"/>
      <c r="H62" s="142"/>
      <c r="I62" s="142"/>
      <c r="J62" s="172"/>
      <c r="K62" s="142" t="s">
        <v>271</v>
      </c>
      <c r="L62" s="142">
        <f>27.2*2*0.3</f>
        <v>16.32</v>
      </c>
      <c r="M62" s="172" t="s">
        <v>140</v>
      </c>
      <c r="N62" s="151"/>
      <c r="O62" s="151"/>
      <c r="P62" s="151"/>
    </row>
    <row r="63" spans="1:16" ht="15.75" customHeight="1" x14ac:dyDescent="0.2">
      <c r="A63" s="63" t="s">
        <v>331</v>
      </c>
      <c r="B63" s="159" t="s">
        <v>352</v>
      </c>
      <c r="C63" s="160"/>
      <c r="D63" s="160"/>
      <c r="E63" s="160"/>
      <c r="F63" s="160"/>
      <c r="G63" s="160"/>
      <c r="H63" s="160"/>
      <c r="I63" s="160">
        <f>SUM(O64:O65)</f>
        <v>368.12</v>
      </c>
      <c r="J63" s="163" t="s">
        <v>47</v>
      </c>
      <c r="K63" s="160" t="s">
        <v>273</v>
      </c>
      <c r="L63" s="178">
        <v>0.154</v>
      </c>
      <c r="M63" s="160" t="s">
        <v>348</v>
      </c>
      <c r="N63" s="160" t="s">
        <v>271</v>
      </c>
      <c r="O63" s="173">
        <f>I63*L63</f>
        <v>56.690480000000001</v>
      </c>
      <c r="P63" s="175" t="s">
        <v>95</v>
      </c>
    </row>
    <row r="64" spans="1:16" ht="15.75" customHeight="1" x14ac:dyDescent="0.2">
      <c r="A64" s="63"/>
      <c r="B64" s="159" t="s">
        <v>344</v>
      </c>
      <c r="C64" s="160"/>
      <c r="D64" s="160"/>
      <c r="E64" s="160"/>
      <c r="F64" s="160"/>
      <c r="G64" s="160"/>
      <c r="H64" s="160"/>
      <c r="I64" s="160" t="s">
        <v>271</v>
      </c>
      <c r="J64" s="163">
        <f>2*17/0.15</f>
        <v>226.66666666666669</v>
      </c>
      <c r="K64" s="160" t="s">
        <v>345</v>
      </c>
      <c r="L64" s="160"/>
      <c r="M64" s="160" t="s">
        <v>346</v>
      </c>
      <c r="N64" s="160" t="s">
        <v>271</v>
      </c>
      <c r="O64" s="160">
        <f>226*0.86</f>
        <v>194.35999999999999</v>
      </c>
      <c r="P64" s="163" t="s">
        <v>47</v>
      </c>
    </row>
    <row r="65" spans="1:16" ht="15.75" customHeight="1" x14ac:dyDescent="0.2">
      <c r="A65" s="149"/>
      <c r="B65" s="150" t="s">
        <v>343</v>
      </c>
      <c r="C65" s="142"/>
      <c r="D65" s="142"/>
      <c r="E65" s="142"/>
      <c r="F65" s="142"/>
      <c r="G65" s="142"/>
      <c r="H65" s="142"/>
      <c r="I65" s="142" t="s">
        <v>271</v>
      </c>
      <c r="J65" s="172">
        <f>27.2/0.15</f>
        <v>181.33333333333334</v>
      </c>
      <c r="K65" s="142" t="s">
        <v>345</v>
      </c>
      <c r="L65" s="142"/>
      <c r="M65" s="142" t="s">
        <v>347</v>
      </c>
      <c r="N65" s="142" t="s">
        <v>271</v>
      </c>
      <c r="O65" s="142">
        <f>181*0.96</f>
        <v>173.76</v>
      </c>
      <c r="P65" s="172" t="s">
        <v>47</v>
      </c>
    </row>
    <row r="66" spans="1:16" ht="15.75" customHeight="1" x14ac:dyDescent="0.2">
      <c r="A66" s="63" t="s">
        <v>331</v>
      </c>
      <c r="B66" s="159" t="s">
        <v>349</v>
      </c>
      <c r="C66" s="160"/>
      <c r="D66" s="160"/>
      <c r="E66" s="160"/>
      <c r="F66" s="160"/>
      <c r="G66" s="160"/>
      <c r="H66" s="160"/>
      <c r="I66" s="160">
        <f>17+17+27.2</f>
        <v>61.2</v>
      </c>
      <c r="J66" s="163" t="s">
        <v>47</v>
      </c>
      <c r="K66" s="160" t="s">
        <v>273</v>
      </c>
      <c r="L66" s="178">
        <v>4</v>
      </c>
      <c r="M66" s="160" t="s">
        <v>350</v>
      </c>
      <c r="N66" s="160" t="s">
        <v>271</v>
      </c>
      <c r="O66" s="160">
        <f>I66*L66</f>
        <v>244.8</v>
      </c>
      <c r="P66" s="163" t="s">
        <v>47</v>
      </c>
    </row>
    <row r="67" spans="1:16" ht="15.75" customHeight="1" x14ac:dyDescent="0.2">
      <c r="A67" s="149"/>
      <c r="B67" s="150" t="s">
        <v>351</v>
      </c>
      <c r="C67" s="142"/>
      <c r="D67" s="142"/>
      <c r="E67" s="142"/>
      <c r="F67" s="142"/>
      <c r="G67" s="142"/>
      <c r="H67" s="142"/>
      <c r="I67" s="142">
        <f>O66</f>
        <v>244.8</v>
      </c>
      <c r="J67" s="153" t="s">
        <v>47</v>
      </c>
      <c r="K67" s="153" t="s">
        <v>273</v>
      </c>
      <c r="L67" s="153">
        <v>0.61699999999999999</v>
      </c>
      <c r="M67" s="153" t="s">
        <v>348</v>
      </c>
      <c r="N67" s="153" t="s">
        <v>271</v>
      </c>
      <c r="O67" s="179">
        <f>I67*L67</f>
        <v>151.04160000000002</v>
      </c>
      <c r="P67" s="180" t="s">
        <v>95</v>
      </c>
    </row>
    <row r="68" spans="1:16" ht="15.75" customHeight="1" x14ac:dyDescent="0.2">
      <c r="A68" s="145" t="s">
        <v>332</v>
      </c>
      <c r="B68" s="146" t="s">
        <v>353</v>
      </c>
      <c r="C68" s="147"/>
      <c r="D68" s="147"/>
      <c r="E68" s="147"/>
      <c r="F68" s="147"/>
      <c r="G68" s="147"/>
      <c r="H68" s="147" t="s">
        <v>354</v>
      </c>
      <c r="I68" s="181">
        <f>2*17*0.15*0.3</f>
        <v>1.5299999999999998</v>
      </c>
      <c r="J68" s="174" t="s">
        <v>139</v>
      </c>
      <c r="K68" s="29" t="s">
        <v>355</v>
      </c>
      <c r="L68" s="147">
        <f>27.2*0.2*0.3</f>
        <v>1.6320000000000001</v>
      </c>
      <c r="M68" s="174" t="s">
        <v>139</v>
      </c>
      <c r="N68" s="147" t="s">
        <v>271</v>
      </c>
      <c r="O68" s="164">
        <f>I68+L68</f>
        <v>3.1619999999999999</v>
      </c>
      <c r="P68" s="169" t="s">
        <v>139</v>
      </c>
    </row>
    <row r="69" spans="1:16" ht="15.75" customHeight="1" x14ac:dyDescent="0.2">
      <c r="A69" s="145" t="s">
        <v>333</v>
      </c>
      <c r="B69" s="146" t="s">
        <v>326</v>
      </c>
      <c r="C69" s="147"/>
      <c r="D69" s="147"/>
      <c r="E69" s="147"/>
      <c r="F69" s="147"/>
      <c r="G69" s="147"/>
      <c r="H69" s="147"/>
      <c r="I69" s="147"/>
      <c r="J69" s="174" t="s">
        <v>299</v>
      </c>
      <c r="K69" s="147"/>
      <c r="L69" s="147"/>
      <c r="M69" s="147"/>
      <c r="N69" s="147"/>
      <c r="O69" s="164">
        <f>O68</f>
        <v>3.1619999999999999</v>
      </c>
      <c r="P69" s="169" t="s">
        <v>139</v>
      </c>
    </row>
    <row r="70" spans="1:16" ht="15.75" customHeight="1" thickBot="1" x14ac:dyDescent="0.25">
      <c r="A70" s="48"/>
    </row>
    <row r="71" spans="1:16" ht="15.75" customHeight="1" thickBot="1" x14ac:dyDescent="0.25">
      <c r="A71" s="42" t="s">
        <v>27</v>
      </c>
      <c r="B71" s="140" t="s">
        <v>267</v>
      </c>
      <c r="C71" s="74"/>
      <c r="D71" s="74"/>
      <c r="E71" s="74"/>
      <c r="F71" s="74"/>
      <c r="G71" s="75"/>
      <c r="H71" s="142"/>
      <c r="I71" s="142"/>
      <c r="J71" s="142"/>
      <c r="K71" s="142"/>
      <c r="L71" s="142"/>
      <c r="M71" s="142"/>
      <c r="N71" s="142"/>
      <c r="O71" s="142"/>
      <c r="P71" s="142"/>
    </row>
    <row r="72" spans="1:16" ht="15.75" customHeight="1" x14ac:dyDescent="0.2">
      <c r="A72" s="176" t="s">
        <v>356</v>
      </c>
      <c r="B72" s="97" t="s">
        <v>357</v>
      </c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</row>
    <row r="73" spans="1:16" ht="15.75" customHeight="1" x14ac:dyDescent="0.2">
      <c r="A73" s="182" t="s">
        <v>25</v>
      </c>
      <c r="B73" s="159" t="s">
        <v>360</v>
      </c>
      <c r="J73" s="162" t="s">
        <v>299</v>
      </c>
      <c r="N73" s="137" t="s">
        <v>271</v>
      </c>
      <c r="O73" s="166">
        <f>SUM(H74:H76)</f>
        <v>55.6</v>
      </c>
      <c r="P73" s="170" t="s">
        <v>140</v>
      </c>
    </row>
    <row r="74" spans="1:16" ht="15.75" customHeight="1" x14ac:dyDescent="0.2">
      <c r="A74" s="182"/>
      <c r="B74" s="159" t="s">
        <v>739</v>
      </c>
      <c r="H74" s="137">
        <f>13*(2*0.2+2*0.3)*2.7</f>
        <v>35.1</v>
      </c>
      <c r="I74" s="148" t="s">
        <v>140</v>
      </c>
      <c r="J74" s="163" t="s">
        <v>738</v>
      </c>
    </row>
    <row r="75" spans="1:16" ht="15.75" customHeight="1" x14ac:dyDescent="0.2">
      <c r="A75" s="98"/>
      <c r="B75" s="159" t="s">
        <v>740</v>
      </c>
      <c r="C75" s="160"/>
      <c r="D75" s="160"/>
      <c r="E75" s="160"/>
      <c r="F75" s="160"/>
      <c r="G75" s="160"/>
      <c r="H75" s="137">
        <f>5*(2*0.2+2*0.4)*2.7</f>
        <v>16.200000000000003</v>
      </c>
      <c r="I75" s="163" t="s">
        <v>140</v>
      </c>
      <c r="J75" s="160"/>
      <c r="K75" s="160"/>
      <c r="L75" s="160"/>
      <c r="M75" s="160"/>
      <c r="N75" s="160"/>
      <c r="O75" s="160"/>
      <c r="P75" s="160"/>
    </row>
    <row r="76" spans="1:16" ht="15.75" customHeight="1" x14ac:dyDescent="0.2">
      <c r="A76" s="176"/>
      <c r="B76" s="150" t="s">
        <v>361</v>
      </c>
      <c r="C76" s="142"/>
      <c r="D76" s="142"/>
      <c r="E76" s="142"/>
      <c r="F76" s="142"/>
      <c r="G76" s="142"/>
      <c r="H76" s="142">
        <f>2*(2*0.2+2*0.3)*2.15</f>
        <v>4.3</v>
      </c>
      <c r="I76" s="172" t="s">
        <v>140</v>
      </c>
      <c r="J76" s="142"/>
      <c r="K76" s="142"/>
      <c r="L76" s="142"/>
      <c r="M76" s="142"/>
      <c r="N76" s="142"/>
      <c r="O76" s="142"/>
      <c r="P76" s="142"/>
    </row>
    <row r="77" spans="1:16" ht="15.75" customHeight="1" x14ac:dyDescent="0.2">
      <c r="A77" s="182" t="s">
        <v>99</v>
      </c>
      <c r="B77" s="159" t="s">
        <v>358</v>
      </c>
      <c r="J77" s="148" t="s">
        <v>320</v>
      </c>
      <c r="O77" s="166">
        <v>63.6</v>
      </c>
      <c r="P77" s="170" t="s">
        <v>95</v>
      </c>
    </row>
    <row r="78" spans="1:16" ht="15.75" customHeight="1" x14ac:dyDescent="0.2">
      <c r="A78" s="176" t="s">
        <v>100</v>
      </c>
      <c r="B78" s="159" t="s">
        <v>359</v>
      </c>
      <c r="H78" s="142"/>
      <c r="I78" s="142"/>
      <c r="J78" s="172" t="s">
        <v>320</v>
      </c>
      <c r="K78" s="142"/>
      <c r="O78" s="166">
        <v>247.8</v>
      </c>
      <c r="P78" s="170" t="s">
        <v>95</v>
      </c>
    </row>
    <row r="79" spans="1:16" ht="15.75" customHeight="1" x14ac:dyDescent="0.2">
      <c r="A79" s="290" t="s">
        <v>101</v>
      </c>
      <c r="B79" s="156" t="s">
        <v>744</v>
      </c>
      <c r="C79" s="157"/>
      <c r="D79" s="157"/>
      <c r="E79" s="157"/>
      <c r="F79" s="157"/>
      <c r="G79" s="157"/>
      <c r="H79" s="163" t="s">
        <v>741</v>
      </c>
      <c r="I79" s="139"/>
      <c r="J79" s="139"/>
      <c r="K79" s="139"/>
      <c r="L79" s="291">
        <f>13*0.2*0.3*(3.1-0.4)</f>
        <v>2.1060000000000003</v>
      </c>
      <c r="M79" s="162" t="s">
        <v>139</v>
      </c>
      <c r="N79" s="157" t="s">
        <v>271</v>
      </c>
      <c r="O79" s="171">
        <f>L79+L80+L81</f>
        <v>3.4080000000000004</v>
      </c>
      <c r="P79" s="177" t="s">
        <v>139</v>
      </c>
    </row>
    <row r="80" spans="1:16" ht="15.75" customHeight="1" x14ac:dyDescent="0.2">
      <c r="A80" s="98"/>
      <c r="B80" s="159"/>
      <c r="C80" s="160"/>
      <c r="D80" s="160"/>
      <c r="E80" s="160"/>
      <c r="F80" s="139"/>
      <c r="G80" s="160"/>
      <c r="H80" s="163" t="s">
        <v>742</v>
      </c>
      <c r="I80" s="163"/>
      <c r="J80" s="139"/>
      <c r="K80" s="29"/>
      <c r="L80" s="292">
        <f>5*0.2*0.4*(3.1-0.4)</f>
        <v>1.08</v>
      </c>
      <c r="M80" s="34" t="s">
        <v>139</v>
      </c>
      <c r="N80" s="160"/>
      <c r="O80" s="173"/>
      <c r="P80" s="175"/>
    </row>
    <row r="81" spans="1:20" ht="15.75" customHeight="1" x14ac:dyDescent="0.2">
      <c r="A81" s="98"/>
      <c r="B81" s="159"/>
      <c r="C81" s="160"/>
      <c r="D81" s="160"/>
      <c r="E81" s="139"/>
      <c r="F81" s="160"/>
      <c r="G81" s="160"/>
      <c r="H81" s="163" t="s">
        <v>743</v>
      </c>
      <c r="I81" s="139"/>
      <c r="J81" s="139"/>
      <c r="K81" s="139"/>
      <c r="L81" s="292">
        <f>2*0.2*0.3*(2.15-0.3)</f>
        <v>0.22199999999999998</v>
      </c>
      <c r="M81" s="163" t="s">
        <v>139</v>
      </c>
      <c r="N81" s="160"/>
      <c r="O81" s="173"/>
      <c r="P81" s="175"/>
    </row>
    <row r="82" spans="1:20" ht="15.75" customHeight="1" x14ac:dyDescent="0.2">
      <c r="A82" s="91" t="s">
        <v>108</v>
      </c>
      <c r="B82" s="146" t="s">
        <v>326</v>
      </c>
      <c r="C82" s="147"/>
      <c r="D82" s="147"/>
      <c r="E82" s="147"/>
      <c r="F82" s="147"/>
      <c r="G82" s="147"/>
      <c r="H82" s="147"/>
      <c r="I82" s="147"/>
      <c r="J82" s="174" t="s">
        <v>299</v>
      </c>
      <c r="K82" s="147"/>
      <c r="L82" s="147"/>
      <c r="M82" s="147"/>
      <c r="N82" s="147"/>
      <c r="O82" s="164">
        <f>O79</f>
        <v>3.4080000000000004</v>
      </c>
      <c r="P82" s="169" t="s">
        <v>139</v>
      </c>
    </row>
    <row r="83" spans="1:20" ht="15.75" customHeight="1" x14ac:dyDescent="0.2">
      <c r="A83" s="91" t="s">
        <v>29</v>
      </c>
      <c r="B83" s="90" t="s">
        <v>362</v>
      </c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</row>
    <row r="84" spans="1:20" ht="15.75" customHeight="1" x14ac:dyDescent="0.2">
      <c r="A84" s="145" t="s">
        <v>26</v>
      </c>
      <c r="B84" s="146" t="s">
        <v>360</v>
      </c>
      <c r="C84" s="147"/>
      <c r="D84" s="147"/>
      <c r="E84" s="147"/>
      <c r="F84" s="147"/>
      <c r="G84" s="147"/>
      <c r="H84" s="147"/>
      <c r="I84" s="147"/>
      <c r="J84" s="174" t="s">
        <v>320</v>
      </c>
      <c r="K84" s="147"/>
      <c r="L84" s="147"/>
      <c r="M84" s="147"/>
      <c r="N84" s="147"/>
      <c r="O84" s="164">
        <v>106.86</v>
      </c>
      <c r="P84" s="169" t="s">
        <v>139</v>
      </c>
    </row>
    <row r="85" spans="1:20" ht="15.75" customHeight="1" x14ac:dyDescent="0.2">
      <c r="A85" s="149" t="s">
        <v>141</v>
      </c>
      <c r="B85" s="150" t="s">
        <v>363</v>
      </c>
      <c r="C85" s="142"/>
      <c r="D85" s="142"/>
      <c r="E85" s="142"/>
      <c r="F85" s="142"/>
      <c r="G85" s="142"/>
      <c r="H85" s="142"/>
      <c r="I85" s="142"/>
      <c r="J85" s="174" t="s">
        <v>320</v>
      </c>
      <c r="K85" s="142"/>
      <c r="L85" s="142"/>
      <c r="M85" s="142"/>
      <c r="N85" s="142"/>
      <c r="O85" s="167">
        <v>124.1</v>
      </c>
      <c r="P85" s="169" t="s">
        <v>95</v>
      </c>
    </row>
    <row r="86" spans="1:20" ht="15.75" customHeight="1" x14ac:dyDescent="0.2">
      <c r="A86" s="149" t="s">
        <v>142</v>
      </c>
      <c r="B86" s="150" t="s">
        <v>364</v>
      </c>
      <c r="C86" s="142"/>
      <c r="D86" s="142"/>
      <c r="E86" s="142"/>
      <c r="F86" s="142"/>
      <c r="G86" s="142"/>
      <c r="H86" s="142"/>
      <c r="I86" s="142"/>
      <c r="J86" s="174" t="s">
        <v>320</v>
      </c>
      <c r="K86" s="142"/>
      <c r="L86" s="142"/>
      <c r="M86" s="142"/>
      <c r="N86" s="142"/>
      <c r="O86" s="167">
        <v>135.1</v>
      </c>
      <c r="P86" s="169" t="s">
        <v>95</v>
      </c>
    </row>
    <row r="87" spans="1:20" ht="15.75" customHeight="1" x14ac:dyDescent="0.2">
      <c r="A87" s="149" t="s">
        <v>143</v>
      </c>
      <c r="B87" s="150" t="s">
        <v>365</v>
      </c>
      <c r="C87" s="142"/>
      <c r="D87" s="142"/>
      <c r="E87" s="142"/>
      <c r="F87" s="142"/>
      <c r="G87" s="142"/>
      <c r="H87" s="142"/>
      <c r="I87" s="142"/>
      <c r="J87" s="174" t="s">
        <v>320</v>
      </c>
      <c r="K87" s="142"/>
      <c r="L87" s="142"/>
      <c r="M87" s="142"/>
      <c r="N87" s="142"/>
      <c r="O87" s="167">
        <v>324</v>
      </c>
      <c r="P87" s="169" t="s">
        <v>95</v>
      </c>
    </row>
    <row r="88" spans="1:20" ht="15.75" customHeight="1" x14ac:dyDescent="0.2">
      <c r="A88" s="63" t="s">
        <v>144</v>
      </c>
      <c r="B88" s="156" t="s">
        <v>761</v>
      </c>
      <c r="C88" s="160"/>
      <c r="D88" s="160"/>
      <c r="E88" s="160"/>
      <c r="F88" s="160"/>
      <c r="G88" s="160"/>
      <c r="H88" s="160"/>
      <c r="I88" s="160"/>
      <c r="J88" s="162" t="s">
        <v>320</v>
      </c>
      <c r="K88" s="160"/>
      <c r="L88" s="160"/>
      <c r="M88" s="160"/>
      <c r="N88" s="160"/>
      <c r="O88" s="171">
        <f>SUM(O89:O92)</f>
        <v>7.9547499999999989</v>
      </c>
      <c r="P88" s="177" t="s">
        <v>139</v>
      </c>
      <c r="R88" s="160"/>
      <c r="S88" s="160"/>
      <c r="T88" s="281"/>
    </row>
    <row r="89" spans="1:20" ht="15.75" customHeight="1" x14ac:dyDescent="0.2">
      <c r="A89" s="63"/>
      <c r="B89" s="159" t="s">
        <v>745</v>
      </c>
      <c r="C89" s="160"/>
      <c r="D89" s="160"/>
      <c r="E89" s="160"/>
      <c r="F89" s="160"/>
      <c r="G89" s="160"/>
      <c r="H89" s="293" t="s">
        <v>752</v>
      </c>
      <c r="I89" s="160"/>
      <c r="J89" s="163"/>
      <c r="K89" s="160"/>
      <c r="L89" s="160"/>
      <c r="M89" s="160"/>
      <c r="N89" s="160"/>
      <c r="O89" s="294">
        <f>(5.2+4.35+4.35+2.4+4.35+3.3+20.1+9.8+1.8+20.3)*0.2*0.4</f>
        <v>6.0759999999999996</v>
      </c>
      <c r="P89" s="163" t="s">
        <v>11</v>
      </c>
      <c r="R89" s="160"/>
      <c r="S89" s="293"/>
      <c r="T89" s="281"/>
    </row>
    <row r="90" spans="1:20" ht="15.75" customHeight="1" x14ac:dyDescent="0.2">
      <c r="A90" s="63"/>
      <c r="B90" s="159" t="s">
        <v>747</v>
      </c>
      <c r="C90" s="160"/>
      <c r="D90" s="160"/>
      <c r="E90" s="160"/>
      <c r="F90" s="160"/>
      <c r="G90" s="160"/>
      <c r="H90" s="192" t="s">
        <v>751</v>
      </c>
      <c r="I90" s="160"/>
      <c r="J90" s="163"/>
      <c r="K90" s="160"/>
      <c r="L90" s="160"/>
      <c r="M90" s="160"/>
      <c r="N90" s="160"/>
      <c r="O90" s="294">
        <f>(0.7+0.7+0.7+1.9+2.2+1.9+1.9)*0.2*0.3</f>
        <v>0.6</v>
      </c>
      <c r="P90" s="163" t="s">
        <v>11</v>
      </c>
      <c r="R90" s="160"/>
      <c r="S90" s="295"/>
      <c r="T90" s="281"/>
    </row>
    <row r="91" spans="1:20" ht="15.75" customHeight="1" x14ac:dyDescent="0.2">
      <c r="A91" s="63"/>
      <c r="B91" s="159" t="s">
        <v>746</v>
      </c>
      <c r="C91" s="160"/>
      <c r="D91" s="160"/>
      <c r="E91" s="160"/>
      <c r="F91" s="160"/>
      <c r="G91" s="160"/>
      <c r="H91" s="192" t="s">
        <v>750</v>
      </c>
      <c r="I91" s="160"/>
      <c r="J91" s="163"/>
      <c r="K91" s="160"/>
      <c r="L91" s="160"/>
      <c r="M91" s="160"/>
      <c r="N91" s="160"/>
      <c r="O91" s="294">
        <f>(1.75+1.75+0.5+0.5)*0.15*0.3</f>
        <v>0.20249999999999999</v>
      </c>
      <c r="P91" s="163" t="s">
        <v>11</v>
      </c>
      <c r="R91" s="160"/>
      <c r="S91" s="192"/>
      <c r="T91" s="281"/>
    </row>
    <row r="92" spans="1:20" ht="15.75" customHeight="1" x14ac:dyDescent="0.2">
      <c r="A92" s="149"/>
      <c r="B92" s="159" t="s">
        <v>748</v>
      </c>
      <c r="C92" s="142"/>
      <c r="D92" s="142"/>
      <c r="E92" s="142"/>
      <c r="F92" s="142"/>
      <c r="G92" s="142"/>
      <c r="H92" s="191" t="s">
        <v>749</v>
      </c>
      <c r="I92" s="142"/>
      <c r="J92" s="172"/>
      <c r="K92" s="142"/>
      <c r="L92" s="142"/>
      <c r="M92" s="142"/>
      <c r="N92" s="142"/>
      <c r="O92" s="142">
        <f>(0.2+0.2+20.1)*0.15*0.35</f>
        <v>1.0762499999999999</v>
      </c>
      <c r="P92" s="163" t="s">
        <v>11</v>
      </c>
      <c r="R92" s="160"/>
      <c r="S92" s="163"/>
      <c r="T92" s="281"/>
    </row>
    <row r="93" spans="1:20" ht="15.75" customHeight="1" x14ac:dyDescent="0.2">
      <c r="A93" s="145" t="s">
        <v>30</v>
      </c>
      <c r="B93" s="90" t="s">
        <v>366</v>
      </c>
      <c r="C93" s="147"/>
      <c r="D93" s="147"/>
      <c r="E93" s="147"/>
      <c r="F93" s="147"/>
      <c r="G93" s="147"/>
      <c r="H93" s="147"/>
      <c r="I93" s="147"/>
      <c r="J93" s="174"/>
      <c r="K93" s="147"/>
      <c r="L93" s="147"/>
      <c r="M93" s="147"/>
      <c r="N93" s="147"/>
      <c r="O93" s="164"/>
      <c r="P93" s="169"/>
      <c r="R93" s="160"/>
      <c r="S93" s="160"/>
      <c r="T93" s="281"/>
    </row>
    <row r="94" spans="1:20" ht="15.75" customHeight="1" x14ac:dyDescent="0.2">
      <c r="A94" s="145" t="s">
        <v>31</v>
      </c>
      <c r="B94" s="146" t="s">
        <v>366</v>
      </c>
      <c r="C94" s="147"/>
      <c r="D94" s="147"/>
      <c r="E94" s="147"/>
      <c r="F94" s="147"/>
      <c r="G94" s="147"/>
      <c r="H94" s="147"/>
      <c r="I94" s="181" t="s">
        <v>368</v>
      </c>
      <c r="J94" s="174" t="s">
        <v>367</v>
      </c>
      <c r="K94" s="147"/>
      <c r="L94" s="147"/>
      <c r="M94" s="147"/>
      <c r="N94" s="147"/>
      <c r="O94" s="164">
        <f>5.6*20.5-(2.1*2)</f>
        <v>110.6</v>
      </c>
      <c r="P94" s="169" t="s">
        <v>140</v>
      </c>
      <c r="R94" s="160"/>
      <c r="S94" s="160"/>
      <c r="T94" s="281"/>
    </row>
    <row r="95" spans="1:20" ht="15.75" customHeight="1" x14ac:dyDescent="0.2">
      <c r="A95" s="145" t="s">
        <v>369</v>
      </c>
      <c r="B95" s="146" t="s">
        <v>373</v>
      </c>
      <c r="C95" s="147"/>
      <c r="D95" s="147"/>
      <c r="E95" s="147"/>
      <c r="F95" s="147"/>
      <c r="G95" s="147"/>
      <c r="H95" s="147"/>
      <c r="I95" s="147"/>
      <c r="J95" s="174" t="s">
        <v>756</v>
      </c>
      <c r="K95" s="147"/>
      <c r="L95" s="147"/>
      <c r="M95" s="147"/>
      <c r="N95" s="147"/>
      <c r="O95" s="164">
        <f>2.1*3.65+2.1*2.1+2.2*1.9</f>
        <v>16.254999999999999</v>
      </c>
      <c r="P95" s="169" t="s">
        <v>140</v>
      </c>
    </row>
    <row r="96" spans="1:20" ht="15.75" customHeight="1" x14ac:dyDescent="0.2">
      <c r="A96" s="149" t="s">
        <v>370</v>
      </c>
      <c r="B96" s="150" t="s">
        <v>374</v>
      </c>
      <c r="C96" s="142"/>
      <c r="D96" s="142"/>
      <c r="E96" s="142"/>
      <c r="F96" s="142"/>
      <c r="G96" s="142"/>
      <c r="H96" s="142"/>
      <c r="I96" s="142"/>
      <c r="J96" s="174" t="s">
        <v>320</v>
      </c>
      <c r="K96" s="142"/>
      <c r="L96" s="142"/>
      <c r="M96" s="142"/>
      <c r="N96" s="142"/>
      <c r="O96" s="167">
        <v>23.2</v>
      </c>
      <c r="P96" s="168" t="s">
        <v>95</v>
      </c>
    </row>
    <row r="97" spans="1:16" ht="15.75" customHeight="1" x14ac:dyDescent="0.2">
      <c r="A97" s="149" t="s">
        <v>371</v>
      </c>
      <c r="B97" s="150" t="s">
        <v>375</v>
      </c>
      <c r="C97" s="142"/>
      <c r="D97" s="142"/>
      <c r="E97" s="142"/>
      <c r="F97" s="142"/>
      <c r="G97" s="142"/>
      <c r="H97" s="142"/>
      <c r="I97" s="142"/>
      <c r="J97" s="174" t="s">
        <v>320</v>
      </c>
      <c r="K97" s="142"/>
      <c r="L97" s="142"/>
      <c r="M97" s="142"/>
      <c r="N97" s="142"/>
      <c r="O97" s="167">
        <v>101.8</v>
      </c>
      <c r="P97" s="168" t="s">
        <v>95</v>
      </c>
    </row>
    <row r="98" spans="1:16" ht="15.75" customHeight="1" x14ac:dyDescent="0.2">
      <c r="A98" s="155" t="s">
        <v>372</v>
      </c>
      <c r="B98" s="156" t="s">
        <v>376</v>
      </c>
      <c r="C98" s="160"/>
      <c r="D98" s="160"/>
      <c r="E98" s="160"/>
      <c r="F98" s="160"/>
      <c r="G98" s="160"/>
      <c r="H98" s="160"/>
      <c r="I98" s="160"/>
      <c r="J98" s="162" t="s">
        <v>320</v>
      </c>
      <c r="K98" s="160"/>
      <c r="L98" s="160"/>
      <c r="M98" s="160"/>
      <c r="N98" s="160"/>
      <c r="O98" s="171">
        <f>SUM(J99:J101)</f>
        <v>2.2177500000000001</v>
      </c>
      <c r="P98" s="177" t="s">
        <v>139</v>
      </c>
    </row>
    <row r="99" spans="1:16" ht="15.75" customHeight="1" x14ac:dyDescent="0.2">
      <c r="A99" s="63"/>
      <c r="B99" s="159" t="s">
        <v>754</v>
      </c>
      <c r="C99" s="160"/>
      <c r="D99" s="160"/>
      <c r="E99" s="160"/>
      <c r="F99" s="163" t="s">
        <v>377</v>
      </c>
      <c r="G99" s="160"/>
      <c r="H99" s="160"/>
      <c r="I99" s="160"/>
      <c r="J99" s="163">
        <f>3.65*2.1*0.15</f>
        <v>1.14975</v>
      </c>
      <c r="K99" s="160" t="s">
        <v>139</v>
      </c>
      <c r="L99" s="160"/>
      <c r="M99" s="160"/>
      <c r="N99" s="160"/>
      <c r="O99" s="173"/>
      <c r="P99" s="175"/>
    </row>
    <row r="100" spans="1:16" ht="15.75" customHeight="1" x14ac:dyDescent="0.2">
      <c r="A100" s="63"/>
      <c r="B100" s="159" t="s">
        <v>753</v>
      </c>
      <c r="C100" s="160"/>
      <c r="D100" s="160"/>
      <c r="E100" s="160"/>
      <c r="F100" s="163" t="s">
        <v>378</v>
      </c>
      <c r="G100" s="160"/>
      <c r="H100" s="160"/>
      <c r="I100" s="160"/>
      <c r="J100" s="163">
        <f>2.1*2.1*0.1</f>
        <v>0.44100000000000006</v>
      </c>
      <c r="K100" s="160" t="s">
        <v>139</v>
      </c>
      <c r="L100" s="160"/>
      <c r="M100" s="160"/>
      <c r="N100" s="160"/>
      <c r="O100" s="173"/>
      <c r="P100" s="175"/>
    </row>
    <row r="101" spans="1:16" ht="15.75" customHeight="1" x14ac:dyDescent="0.2">
      <c r="A101" s="149"/>
      <c r="B101" s="150" t="s">
        <v>755</v>
      </c>
      <c r="C101" s="142"/>
      <c r="D101" s="142"/>
      <c r="E101" s="142"/>
      <c r="F101" s="172" t="s">
        <v>377</v>
      </c>
      <c r="G101" s="142"/>
      <c r="H101" s="142"/>
      <c r="I101" s="142"/>
      <c r="J101" s="172">
        <f>2.2*1.9*0.15</f>
        <v>0.62699999999999989</v>
      </c>
      <c r="K101" s="142" t="s">
        <v>139</v>
      </c>
      <c r="L101" s="142"/>
      <c r="M101" s="142"/>
      <c r="N101" s="142"/>
      <c r="O101" s="167"/>
      <c r="P101" s="168"/>
    </row>
    <row r="102" spans="1:16" ht="15.75" customHeight="1" x14ac:dyDescent="0.2">
      <c r="A102" s="91" t="s">
        <v>152</v>
      </c>
      <c r="B102" s="90" t="s">
        <v>379</v>
      </c>
      <c r="C102" s="164"/>
      <c r="D102" s="147"/>
      <c r="E102" s="147"/>
      <c r="F102" s="147"/>
      <c r="G102" s="147"/>
      <c r="H102" s="147"/>
      <c r="I102" s="147"/>
      <c r="J102" s="174"/>
      <c r="K102" s="147"/>
      <c r="L102" s="147"/>
      <c r="M102" s="147"/>
      <c r="N102" s="147"/>
      <c r="O102" s="164"/>
      <c r="P102" s="169"/>
    </row>
    <row r="103" spans="1:16" ht="15.75" customHeight="1" x14ac:dyDescent="0.2">
      <c r="A103" s="145" t="s">
        <v>153</v>
      </c>
      <c r="B103" s="146" t="s">
        <v>380</v>
      </c>
      <c r="C103" s="147"/>
      <c r="D103" s="147"/>
      <c r="E103" s="147"/>
      <c r="F103" s="147"/>
      <c r="G103" s="147"/>
      <c r="H103" s="147">
        <v>3.95</v>
      </c>
      <c r="I103" s="174">
        <v>3.95</v>
      </c>
      <c r="J103" s="147">
        <v>3.75</v>
      </c>
      <c r="K103" s="147">
        <v>1.9</v>
      </c>
      <c r="L103" s="147">
        <v>3.75</v>
      </c>
      <c r="M103" s="147">
        <v>1.8</v>
      </c>
      <c r="N103" s="147" t="s">
        <v>271</v>
      </c>
      <c r="O103" s="164">
        <f>SUM(H103:M103)</f>
        <v>19.100000000000001</v>
      </c>
      <c r="P103" s="169" t="s">
        <v>47</v>
      </c>
    </row>
    <row r="104" spans="1:16" ht="15.75" customHeight="1" thickBot="1" x14ac:dyDescent="0.25">
      <c r="A104" s="48"/>
    </row>
    <row r="105" spans="1:16" ht="15.75" customHeight="1" thickBot="1" x14ac:dyDescent="0.25">
      <c r="A105" s="42" t="s">
        <v>33</v>
      </c>
      <c r="B105" s="140" t="s">
        <v>254</v>
      </c>
      <c r="C105" s="74"/>
      <c r="D105" s="74"/>
      <c r="E105" s="74"/>
      <c r="F105" s="74"/>
      <c r="G105" s="75"/>
      <c r="H105" s="141"/>
      <c r="I105" s="142"/>
      <c r="J105" s="142"/>
      <c r="K105" s="142"/>
      <c r="L105" s="142"/>
      <c r="M105" s="142"/>
      <c r="N105" s="142"/>
      <c r="O105" s="142"/>
      <c r="P105" s="142"/>
    </row>
    <row r="106" spans="1:16" ht="15.75" customHeight="1" x14ac:dyDescent="0.2">
      <c r="A106" s="48" t="s">
        <v>34</v>
      </c>
      <c r="B106" s="136" t="s">
        <v>381</v>
      </c>
    </row>
    <row r="107" spans="1:16" ht="15.75" customHeight="1" x14ac:dyDescent="0.2">
      <c r="A107" s="48"/>
      <c r="B107" s="29" t="s">
        <v>383</v>
      </c>
      <c r="C107" s="139"/>
      <c r="D107" s="139"/>
      <c r="H107" s="136">
        <f>5.4-0.9</f>
        <v>4.5</v>
      </c>
      <c r="I107" s="137">
        <v>1.25</v>
      </c>
      <c r="J107" s="137">
        <v>1.25</v>
      </c>
      <c r="K107" s="137">
        <v>1.85</v>
      </c>
      <c r="L107" s="137">
        <f>3.1-0.6</f>
        <v>2.5</v>
      </c>
      <c r="N107" s="183" t="s">
        <v>271</v>
      </c>
      <c r="O107" s="48">
        <f>SUM(F107:L107)</f>
        <v>11.35</v>
      </c>
      <c r="P107" s="29" t="s">
        <v>47</v>
      </c>
    </row>
    <row r="108" spans="1:16" ht="15.75" customHeight="1" x14ac:dyDescent="0.2">
      <c r="A108" s="48"/>
      <c r="B108" s="136" t="s">
        <v>384</v>
      </c>
      <c r="H108" s="137">
        <f>22.6-5*0.2-2*0.3</f>
        <v>21</v>
      </c>
      <c r="I108" s="137">
        <v>1.8</v>
      </c>
      <c r="N108" s="183" t="s">
        <v>271</v>
      </c>
      <c r="O108" s="137">
        <f>SUM(H108:N108)</f>
        <v>22.8</v>
      </c>
      <c r="P108" s="148" t="s">
        <v>47</v>
      </c>
    </row>
    <row r="109" spans="1:16" ht="15.75" customHeight="1" x14ac:dyDescent="0.2">
      <c r="A109" s="63"/>
      <c r="B109" s="159" t="s">
        <v>385</v>
      </c>
      <c r="C109" s="160"/>
      <c r="D109" s="160"/>
      <c r="E109" s="160"/>
      <c r="F109" s="160"/>
      <c r="G109" s="160"/>
      <c r="H109" s="160">
        <f>SUM(O107:O108)</f>
        <v>34.15</v>
      </c>
      <c r="I109" s="160" t="s">
        <v>47</v>
      </c>
      <c r="J109" s="160" t="s">
        <v>273</v>
      </c>
      <c r="K109" s="160">
        <v>2.7</v>
      </c>
      <c r="L109" s="160" t="s">
        <v>47</v>
      </c>
      <c r="M109" s="160"/>
      <c r="N109" s="187" t="s">
        <v>271</v>
      </c>
      <c r="O109" s="160">
        <f>H109*K109</f>
        <v>92.204999999999998</v>
      </c>
      <c r="P109" s="163" t="s">
        <v>140</v>
      </c>
    </row>
    <row r="110" spans="1:16" ht="15.75" customHeight="1" x14ac:dyDescent="0.2">
      <c r="A110" s="63"/>
      <c r="B110" s="159" t="s">
        <v>396</v>
      </c>
      <c r="C110" s="160"/>
      <c r="D110" s="160"/>
      <c r="E110" s="160"/>
      <c r="F110" s="160"/>
      <c r="H110" s="160">
        <v>2</v>
      </c>
      <c r="I110" s="160">
        <v>2</v>
      </c>
      <c r="J110" s="160">
        <v>12.4</v>
      </c>
      <c r="K110" s="160">
        <v>6</v>
      </c>
      <c r="L110" s="160">
        <v>2.4</v>
      </c>
      <c r="M110" s="160">
        <v>2.4</v>
      </c>
      <c r="N110" s="187" t="s">
        <v>271</v>
      </c>
      <c r="O110" s="160">
        <f>(SUM(H110:M110))*0.7</f>
        <v>19.039999999999996</v>
      </c>
      <c r="P110" s="163" t="s">
        <v>140</v>
      </c>
    </row>
    <row r="111" spans="1:16" ht="15.75" customHeight="1" x14ac:dyDescent="0.2">
      <c r="A111" s="149"/>
      <c r="B111" s="150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84"/>
      <c r="O111" s="167">
        <f>SUM(O109:O110)</f>
        <v>111.24499999999999</v>
      </c>
      <c r="P111" s="168" t="s">
        <v>140</v>
      </c>
    </row>
    <row r="112" spans="1:16" ht="15.75" customHeight="1" x14ac:dyDescent="0.2">
      <c r="A112" s="48" t="s">
        <v>382</v>
      </c>
      <c r="B112" s="136" t="s">
        <v>397</v>
      </c>
      <c r="O112" s="166">
        <f>SUM(O113:O114)</f>
        <v>44.510000000000005</v>
      </c>
      <c r="P112" s="175" t="s">
        <v>140</v>
      </c>
    </row>
    <row r="113" spans="1:16" ht="15.75" customHeight="1" x14ac:dyDescent="0.2">
      <c r="A113" s="63"/>
      <c r="B113" s="159" t="s">
        <v>399</v>
      </c>
      <c r="C113" s="160"/>
      <c r="D113" s="160"/>
      <c r="E113" s="160"/>
      <c r="F113" s="160">
        <v>4.2</v>
      </c>
      <c r="G113" s="160">
        <v>4.2</v>
      </c>
      <c r="H113" s="160">
        <v>2.25</v>
      </c>
      <c r="I113" s="160">
        <v>2.25</v>
      </c>
      <c r="J113" s="160" t="s">
        <v>271</v>
      </c>
      <c r="K113" s="160">
        <f>SUM(F113:I113)</f>
        <v>12.9</v>
      </c>
      <c r="L113" s="160" t="s">
        <v>273</v>
      </c>
      <c r="M113" s="160">
        <v>2.7</v>
      </c>
      <c r="N113" s="160" t="s">
        <v>271</v>
      </c>
      <c r="O113" s="160">
        <f>K113*M113</f>
        <v>34.830000000000005</v>
      </c>
      <c r="P113" s="163" t="s">
        <v>140</v>
      </c>
    </row>
    <row r="114" spans="1:16" ht="15.75" customHeight="1" x14ac:dyDescent="0.2">
      <c r="A114" s="149"/>
      <c r="B114" s="150" t="s">
        <v>422</v>
      </c>
      <c r="C114" s="142"/>
      <c r="D114" s="142"/>
      <c r="E114" s="142"/>
      <c r="F114" s="142"/>
      <c r="G114" s="142"/>
      <c r="H114" s="142"/>
      <c r="I114" s="142">
        <v>3.9</v>
      </c>
      <c r="J114" s="142">
        <v>3.1</v>
      </c>
      <c r="K114" s="142">
        <v>1.8</v>
      </c>
      <c r="L114" s="142" t="s">
        <v>273</v>
      </c>
      <c r="M114" s="142">
        <v>1.1000000000000001</v>
      </c>
      <c r="N114" s="142" t="s">
        <v>271</v>
      </c>
      <c r="O114" s="142">
        <f>(I114+J114+K114)*M114</f>
        <v>9.6800000000000015</v>
      </c>
      <c r="P114" s="172" t="s">
        <v>140</v>
      </c>
    </row>
    <row r="115" spans="1:16" ht="15.75" customHeight="1" x14ac:dyDescent="0.2">
      <c r="A115" s="48" t="s">
        <v>382</v>
      </c>
      <c r="B115" s="136" t="s">
        <v>398</v>
      </c>
      <c r="O115" s="166">
        <f>SUM(O116:O117)</f>
        <v>81.715000000000018</v>
      </c>
      <c r="P115" s="175" t="s">
        <v>140</v>
      </c>
    </row>
    <row r="116" spans="1:16" ht="15.75" customHeight="1" x14ac:dyDescent="0.2">
      <c r="A116" s="48"/>
      <c r="B116" s="136" t="s">
        <v>401</v>
      </c>
      <c r="G116" s="137">
        <v>1.8</v>
      </c>
      <c r="H116" s="137">
        <v>1.8</v>
      </c>
      <c r="I116" s="137">
        <v>2.25</v>
      </c>
      <c r="J116" s="137" t="s">
        <v>271</v>
      </c>
      <c r="K116" s="137">
        <f>SUM(F116:I116)</f>
        <v>5.85</v>
      </c>
      <c r="L116" s="137" t="s">
        <v>273</v>
      </c>
      <c r="M116" s="137">
        <v>2.7</v>
      </c>
      <c r="N116" s="137" t="s">
        <v>271</v>
      </c>
      <c r="O116" s="137">
        <f>K116*M116</f>
        <v>15.795</v>
      </c>
      <c r="P116" s="163" t="s">
        <v>140</v>
      </c>
    </row>
    <row r="117" spans="1:16" ht="15.75" customHeight="1" x14ac:dyDescent="0.2">
      <c r="A117" s="149"/>
      <c r="B117" s="150" t="s">
        <v>400</v>
      </c>
      <c r="C117" s="142"/>
      <c r="D117" s="142"/>
      <c r="E117" s="142"/>
      <c r="F117" s="142">
        <f>(1.75+1.45+0.65)*2+1.6+0.55+1.45+0.8+0.55+1.45+0.8+1.6+1.45+0.8+2.8+2.8+2.6*2.6+0.9+0.95</f>
        <v>32.960000000000008</v>
      </c>
      <c r="G117" s="142" t="s">
        <v>47</v>
      </c>
      <c r="H117" s="142"/>
      <c r="I117" s="142"/>
      <c r="J117" s="142"/>
      <c r="K117" s="142"/>
      <c r="L117" s="142" t="s">
        <v>273</v>
      </c>
      <c r="M117" s="142">
        <v>2</v>
      </c>
      <c r="N117" s="142" t="s">
        <v>271</v>
      </c>
      <c r="O117" s="142">
        <f>F117*M117</f>
        <v>65.920000000000016</v>
      </c>
      <c r="P117" s="172" t="s">
        <v>140</v>
      </c>
    </row>
    <row r="118" spans="1:16" ht="15.75" customHeight="1" thickBot="1" x14ac:dyDescent="0.25">
      <c r="A118" s="48"/>
    </row>
    <row r="119" spans="1:16" ht="15.75" customHeight="1" thickBot="1" x14ac:dyDescent="0.25">
      <c r="A119" s="42" t="s">
        <v>36</v>
      </c>
      <c r="B119" s="140" t="s">
        <v>255</v>
      </c>
      <c r="C119" s="74"/>
      <c r="D119" s="74"/>
      <c r="E119" s="74"/>
      <c r="F119" s="74"/>
      <c r="G119" s="75"/>
      <c r="H119" s="141"/>
      <c r="I119" s="142"/>
      <c r="J119" s="142"/>
      <c r="K119" s="142"/>
      <c r="L119" s="142"/>
      <c r="M119" s="142"/>
      <c r="N119" s="142"/>
      <c r="O119" s="142"/>
      <c r="P119" s="142"/>
    </row>
    <row r="120" spans="1:16" ht="15.75" customHeight="1" x14ac:dyDescent="0.2">
      <c r="A120" s="176" t="s">
        <v>37</v>
      </c>
      <c r="B120" s="97" t="s">
        <v>386</v>
      </c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</row>
    <row r="121" spans="1:16" ht="15.75" customHeight="1" x14ac:dyDescent="0.2">
      <c r="A121" s="48" t="s">
        <v>38</v>
      </c>
      <c r="B121" s="136" t="s">
        <v>389</v>
      </c>
      <c r="J121" s="170" t="s">
        <v>395</v>
      </c>
      <c r="O121" s="166"/>
      <c r="P121" s="170"/>
    </row>
    <row r="122" spans="1:16" ht="15.75" customHeight="1" x14ac:dyDescent="0.2">
      <c r="A122" s="149" t="s">
        <v>39</v>
      </c>
      <c r="B122" s="150" t="s">
        <v>388</v>
      </c>
      <c r="C122" s="142"/>
      <c r="D122" s="142"/>
      <c r="E122" s="142"/>
      <c r="F122" s="142"/>
      <c r="G122" s="142"/>
      <c r="H122" s="168" t="s">
        <v>394</v>
      </c>
      <c r="I122" s="142"/>
      <c r="J122" s="142"/>
      <c r="K122" s="142"/>
      <c r="L122" s="142"/>
      <c r="M122" s="142"/>
      <c r="N122" s="142"/>
      <c r="O122" s="142"/>
      <c r="P122" s="142"/>
    </row>
    <row r="123" spans="1:16" ht="15.75" customHeight="1" x14ac:dyDescent="0.2">
      <c r="A123" s="91" t="s">
        <v>40</v>
      </c>
      <c r="B123" s="90" t="s">
        <v>387</v>
      </c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</row>
    <row r="124" spans="1:16" ht="15.75" customHeight="1" x14ac:dyDescent="0.2">
      <c r="A124" s="48" t="s">
        <v>41</v>
      </c>
      <c r="B124" s="136" t="s">
        <v>390</v>
      </c>
      <c r="H124" s="29"/>
      <c r="O124" s="173">
        <f>SUM(N125:N127)</f>
        <v>7.3000000000000007</v>
      </c>
      <c r="P124" s="175" t="s">
        <v>140</v>
      </c>
    </row>
    <row r="125" spans="1:16" ht="15.75" customHeight="1" x14ac:dyDescent="0.2">
      <c r="A125" s="48"/>
      <c r="B125" s="148" t="s">
        <v>392</v>
      </c>
      <c r="H125" s="29">
        <v>2</v>
      </c>
      <c r="I125" s="137" t="s">
        <v>273</v>
      </c>
      <c r="J125" s="137">
        <v>2.8</v>
      </c>
      <c r="K125" s="137" t="s">
        <v>273</v>
      </c>
      <c r="L125" s="137">
        <v>0.5</v>
      </c>
      <c r="M125" s="137" t="s">
        <v>271</v>
      </c>
      <c r="N125" s="137">
        <f>H125*J125*L125</f>
        <v>2.8</v>
      </c>
      <c r="O125" s="163" t="s">
        <v>140</v>
      </c>
      <c r="P125" s="160"/>
    </row>
    <row r="126" spans="1:16" ht="15.75" customHeight="1" x14ac:dyDescent="0.2">
      <c r="A126" s="48"/>
      <c r="B126" s="148" t="s">
        <v>391</v>
      </c>
      <c r="H126" s="29">
        <v>2</v>
      </c>
      <c r="I126" s="137" t="s">
        <v>273</v>
      </c>
      <c r="J126" s="137">
        <v>2.6</v>
      </c>
      <c r="K126" s="137" t="s">
        <v>273</v>
      </c>
      <c r="L126" s="137">
        <v>0.5</v>
      </c>
      <c r="M126" s="137" t="s">
        <v>271</v>
      </c>
      <c r="N126" s="137">
        <f>H126*J126*L126</f>
        <v>2.6</v>
      </c>
      <c r="O126" s="148" t="s">
        <v>140</v>
      </c>
    </row>
    <row r="127" spans="1:16" ht="15.75" customHeight="1" x14ac:dyDescent="0.2">
      <c r="A127" s="149"/>
      <c r="B127" s="172" t="s">
        <v>393</v>
      </c>
      <c r="C127" s="142"/>
      <c r="D127" s="142"/>
      <c r="E127" s="142"/>
      <c r="F127" s="142"/>
      <c r="G127" s="142"/>
      <c r="H127" s="153">
        <v>2</v>
      </c>
      <c r="I127" s="142" t="s">
        <v>273</v>
      </c>
      <c r="J127" s="142">
        <v>1.9</v>
      </c>
      <c r="K127" s="142" t="s">
        <v>273</v>
      </c>
      <c r="L127" s="142">
        <v>0.5</v>
      </c>
      <c r="M127" s="142" t="s">
        <v>271</v>
      </c>
      <c r="N127" s="142">
        <f>H127*J127*L127</f>
        <v>1.9</v>
      </c>
      <c r="O127" s="172" t="s">
        <v>140</v>
      </c>
      <c r="P127" s="142"/>
    </row>
    <row r="128" spans="1:16" ht="15.75" customHeight="1" thickBot="1" x14ac:dyDescent="0.25">
      <c r="A128" s="48"/>
      <c r="H128" s="148"/>
    </row>
    <row r="129" spans="1:16" ht="15.75" customHeight="1" thickBot="1" x14ac:dyDescent="0.25">
      <c r="A129" s="42" t="s">
        <v>43</v>
      </c>
      <c r="B129" s="140" t="s">
        <v>256</v>
      </c>
      <c r="C129" s="74"/>
      <c r="D129" s="74"/>
      <c r="E129" s="74"/>
      <c r="F129" s="74"/>
      <c r="G129" s="75"/>
      <c r="H129" s="141"/>
      <c r="I129" s="142"/>
      <c r="J129" s="142"/>
      <c r="K129" s="142"/>
      <c r="L129" s="142"/>
      <c r="M129" s="142"/>
      <c r="N129" s="142"/>
      <c r="O129" s="142"/>
      <c r="P129" s="142"/>
    </row>
    <row r="130" spans="1:16" ht="15.75" customHeight="1" x14ac:dyDescent="0.2">
      <c r="A130" s="48" t="s">
        <v>44</v>
      </c>
      <c r="B130" s="136" t="s">
        <v>402</v>
      </c>
      <c r="O130" s="166">
        <f>SUM(O131:O132)</f>
        <v>76.940000000000012</v>
      </c>
      <c r="P130" s="170" t="s">
        <v>140</v>
      </c>
    </row>
    <row r="131" spans="1:16" ht="15.75" customHeight="1" x14ac:dyDescent="0.2">
      <c r="A131" s="48"/>
      <c r="B131" s="159" t="s">
        <v>404</v>
      </c>
      <c r="H131" s="137">
        <f>I41</f>
        <v>115.20000000000002</v>
      </c>
      <c r="I131" s="148" t="s">
        <v>47</v>
      </c>
      <c r="J131" s="137" t="s">
        <v>403</v>
      </c>
      <c r="N131" s="137" t="s">
        <v>271</v>
      </c>
      <c r="O131" s="137">
        <f>H131*0.2</f>
        <v>23.040000000000006</v>
      </c>
      <c r="P131" s="163" t="s">
        <v>140</v>
      </c>
    </row>
    <row r="132" spans="1:16" ht="15.75" customHeight="1" x14ac:dyDescent="0.2">
      <c r="A132" s="149"/>
      <c r="B132" s="150" t="s">
        <v>405</v>
      </c>
      <c r="C132" s="142"/>
      <c r="D132" s="142"/>
      <c r="E132" s="142"/>
      <c r="F132" s="142"/>
      <c r="G132" s="142"/>
      <c r="H132" s="172" t="s">
        <v>406</v>
      </c>
      <c r="I132" s="142"/>
      <c r="J132" s="142"/>
      <c r="K132" s="142"/>
      <c r="L132" s="142"/>
      <c r="M132" s="142"/>
      <c r="N132" s="142" t="s">
        <v>271</v>
      </c>
      <c r="O132" s="142">
        <f>20.5*2.2+2*2*2.2</f>
        <v>53.900000000000006</v>
      </c>
      <c r="P132" s="172" t="s">
        <v>140</v>
      </c>
    </row>
    <row r="133" spans="1:16" ht="15.75" customHeight="1" x14ac:dyDescent="0.2">
      <c r="A133" s="145" t="s">
        <v>45</v>
      </c>
      <c r="B133" s="146" t="s">
        <v>407</v>
      </c>
      <c r="C133" s="147"/>
      <c r="D133" s="147"/>
      <c r="E133" s="147"/>
      <c r="F133" s="147"/>
      <c r="G133" s="147"/>
      <c r="H133" s="147"/>
      <c r="I133" s="147"/>
      <c r="J133" s="147"/>
      <c r="K133" s="147">
        <f>H131</f>
        <v>115.20000000000002</v>
      </c>
      <c r="L133" s="147" t="s">
        <v>273</v>
      </c>
      <c r="M133" s="147">
        <f>0.4+0.4+0.2</f>
        <v>1</v>
      </c>
      <c r="N133" s="147" t="s">
        <v>271</v>
      </c>
      <c r="O133" s="164">
        <f>K133*M133</f>
        <v>115.20000000000002</v>
      </c>
      <c r="P133" s="169" t="s">
        <v>140</v>
      </c>
    </row>
    <row r="134" spans="1:16" ht="15.75" customHeight="1" x14ac:dyDescent="0.2">
      <c r="A134" s="145" t="s">
        <v>46</v>
      </c>
      <c r="B134" s="146" t="s">
        <v>408</v>
      </c>
      <c r="C134" s="147"/>
      <c r="D134" s="147"/>
      <c r="E134" s="147"/>
      <c r="F134" s="147"/>
      <c r="G134" s="147"/>
      <c r="H134" s="147"/>
      <c r="I134" s="147"/>
      <c r="J134" s="147"/>
      <c r="K134" s="147"/>
      <c r="L134" s="147"/>
      <c r="M134" s="147"/>
      <c r="N134" s="147" t="s">
        <v>271</v>
      </c>
      <c r="O134" s="164">
        <f>O94</f>
        <v>110.6</v>
      </c>
      <c r="P134" s="169" t="s">
        <v>140</v>
      </c>
    </row>
    <row r="135" spans="1:16" ht="15.75" customHeight="1" thickBot="1" x14ac:dyDescent="0.25">
      <c r="A135" s="48"/>
    </row>
    <row r="136" spans="1:16" ht="15.75" customHeight="1" thickBot="1" x14ac:dyDescent="0.25">
      <c r="A136" s="42" t="s">
        <v>48</v>
      </c>
      <c r="B136" s="140" t="s">
        <v>257</v>
      </c>
      <c r="C136" s="74"/>
      <c r="D136" s="74"/>
      <c r="E136" s="74"/>
      <c r="F136" s="74"/>
      <c r="G136" s="75"/>
      <c r="H136" s="141"/>
      <c r="I136" s="142"/>
      <c r="J136" s="142"/>
      <c r="K136" s="142"/>
      <c r="L136" s="142"/>
      <c r="M136" s="142"/>
      <c r="N136" s="142"/>
      <c r="O136" s="142"/>
      <c r="P136" s="142"/>
    </row>
    <row r="137" spans="1:16" ht="15.75" customHeight="1" x14ac:dyDescent="0.2">
      <c r="A137" s="176" t="s">
        <v>49</v>
      </c>
      <c r="B137" s="97" t="s">
        <v>409</v>
      </c>
      <c r="C137" s="167"/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</row>
    <row r="138" spans="1:16" ht="15.75" customHeight="1" x14ac:dyDescent="0.2">
      <c r="A138" s="48" t="s">
        <v>147</v>
      </c>
      <c r="B138" s="136" t="s">
        <v>410</v>
      </c>
      <c r="O138" s="166">
        <f>SUM(O139:O144)</f>
        <v>303.45</v>
      </c>
      <c r="P138" s="170" t="s">
        <v>140</v>
      </c>
    </row>
    <row r="139" spans="1:16" ht="15.75" customHeight="1" x14ac:dyDescent="0.2">
      <c r="A139" s="48"/>
      <c r="B139" s="136" t="s">
        <v>424</v>
      </c>
      <c r="D139" s="188" t="s">
        <v>444</v>
      </c>
      <c r="E139" s="139"/>
      <c r="O139" s="137">
        <f>(4.3+4.3+3.95)*2.9+(1.75+1.75+1.3+1.3+0.65+0.65)*2+2.8*2.25</f>
        <v>57.495000000000005</v>
      </c>
      <c r="P139" s="148" t="s">
        <v>140</v>
      </c>
    </row>
    <row r="140" spans="1:16" ht="15.75" customHeight="1" x14ac:dyDescent="0.2">
      <c r="A140" s="48"/>
      <c r="B140" s="136" t="s">
        <v>425</v>
      </c>
      <c r="D140" s="188" t="s">
        <v>444</v>
      </c>
      <c r="E140" s="139"/>
      <c r="O140" s="137">
        <f>(4.3+4.3+3.95)*2.9+(1.75+1.75+1.3+1.3+0.65+0.65)*2+2.8*2.25</f>
        <v>57.495000000000005</v>
      </c>
      <c r="P140" s="148" t="s">
        <v>140</v>
      </c>
    </row>
    <row r="141" spans="1:16" ht="15.75" customHeight="1" x14ac:dyDescent="0.2">
      <c r="A141" s="48"/>
      <c r="B141" s="136" t="s">
        <v>426</v>
      </c>
      <c r="D141" s="189" t="s">
        <v>430</v>
      </c>
      <c r="O141" s="137">
        <f>(4.3+4.3+4.8+1.05+0.85+0.85+0.2)*2.9+(1.6*2+0.55*2+0.45+0.35*3+1.45*2)*2+2.6*2.25</f>
        <v>70.664999999999992</v>
      </c>
      <c r="P141" s="148" t="s">
        <v>140</v>
      </c>
    </row>
    <row r="142" spans="1:16" ht="15.75" customHeight="1" x14ac:dyDescent="0.2">
      <c r="A142" s="48"/>
      <c r="B142" s="136" t="s">
        <v>427</v>
      </c>
      <c r="D142" s="189" t="s">
        <v>431</v>
      </c>
      <c r="O142" s="137">
        <f>(4.3+4.3+4.8+1.05+0.85+0.85+0.2)*2.9+(1.45*6+0.55*2+0.45*2+0.35*6)*2+2.6*2.25</f>
        <v>78.864999999999981</v>
      </c>
      <c r="P142" s="148" t="s">
        <v>140</v>
      </c>
    </row>
    <row r="143" spans="1:16" ht="15.75" customHeight="1" x14ac:dyDescent="0.2">
      <c r="A143" s="48"/>
      <c r="B143" s="136" t="s">
        <v>428</v>
      </c>
      <c r="D143" s="148" t="s">
        <v>432</v>
      </c>
      <c r="N143" s="137" t="s">
        <v>271</v>
      </c>
      <c r="O143" s="137">
        <f>(1.8+1.8+2)*2.9+1*2.25</f>
        <v>18.489999999999998</v>
      </c>
      <c r="P143" s="148" t="s">
        <v>140</v>
      </c>
    </row>
    <row r="144" spans="1:16" ht="15.75" customHeight="1" x14ac:dyDescent="0.2">
      <c r="A144" s="149"/>
      <c r="B144" s="150" t="s">
        <v>429</v>
      </c>
      <c r="C144" s="142"/>
      <c r="D144" s="172" t="s">
        <v>433</v>
      </c>
      <c r="E144" s="142"/>
      <c r="F144" s="142"/>
      <c r="G144" s="142"/>
      <c r="H144" s="142"/>
      <c r="I144" s="142"/>
      <c r="J144" s="142"/>
      <c r="K144" s="142"/>
      <c r="L144" s="142"/>
      <c r="M144" s="142"/>
      <c r="N144" s="142" t="s">
        <v>271</v>
      </c>
      <c r="O144" s="142">
        <f>(2.25+2.25+1.85)*2.9+0.9*2.25</f>
        <v>20.439999999999998</v>
      </c>
      <c r="P144" s="172" t="s">
        <v>140</v>
      </c>
    </row>
    <row r="145" spans="1:16" ht="15.75" customHeight="1" x14ac:dyDescent="0.2">
      <c r="A145" s="145" t="s">
        <v>148</v>
      </c>
      <c r="B145" s="146" t="s">
        <v>411</v>
      </c>
      <c r="C145" s="147"/>
      <c r="D145" s="147"/>
      <c r="E145" s="174" t="s">
        <v>423</v>
      </c>
      <c r="F145" s="147"/>
      <c r="G145" s="147"/>
      <c r="H145" s="147"/>
      <c r="I145" s="147"/>
      <c r="J145" s="147"/>
      <c r="K145" s="147"/>
      <c r="L145" s="147"/>
      <c r="M145" s="147"/>
      <c r="N145" s="147"/>
      <c r="O145" s="164">
        <f>(4.3*3.95)*2+(4.8*2.35+3.75*1.95)*2+2*1.8+1.85*2.35+20.1*0.9</f>
        <v>97.192499999999995</v>
      </c>
      <c r="P145" s="169" t="s">
        <v>140</v>
      </c>
    </row>
    <row r="146" spans="1:16" ht="15.75" customHeight="1" x14ac:dyDescent="0.2">
      <c r="A146" s="48" t="s">
        <v>149</v>
      </c>
      <c r="B146" s="136" t="s">
        <v>420</v>
      </c>
      <c r="O146" s="166">
        <f>SUM(O147:O152)</f>
        <v>111.37499999999999</v>
      </c>
      <c r="P146" s="177" t="s">
        <v>140</v>
      </c>
    </row>
    <row r="147" spans="1:16" ht="15.75" customHeight="1" x14ac:dyDescent="0.2">
      <c r="A147" s="48"/>
      <c r="B147" s="136" t="s">
        <v>424</v>
      </c>
      <c r="D147" s="188" t="s">
        <v>445</v>
      </c>
      <c r="E147" s="139"/>
      <c r="N147" s="137" t="s">
        <v>271</v>
      </c>
      <c r="O147" s="137">
        <f>(4.3+2.4)*2.9+(1.55+4.3)*0.9+1.45*2.25+(1.75+1.45)*2+1.4*0.25</f>
        <v>34.707499999999996</v>
      </c>
      <c r="P147" s="163" t="s">
        <v>140</v>
      </c>
    </row>
    <row r="148" spans="1:16" ht="15.75" customHeight="1" x14ac:dyDescent="0.2">
      <c r="A148" s="48"/>
      <c r="B148" s="136" t="s">
        <v>425</v>
      </c>
      <c r="D148" s="188" t="s">
        <v>445</v>
      </c>
      <c r="E148" s="139"/>
      <c r="N148" s="137" t="s">
        <v>271</v>
      </c>
      <c r="O148" s="137">
        <f>(4.3+2.4)*2.9+(1.55+4.3)*0.9+1.45*2.25+(1.75+1.45)*2+1.4*0.25</f>
        <v>34.707499999999996</v>
      </c>
      <c r="P148" s="148" t="s">
        <v>140</v>
      </c>
    </row>
    <row r="149" spans="1:16" ht="15.75" customHeight="1" x14ac:dyDescent="0.2">
      <c r="A149" s="48"/>
      <c r="B149" s="136" t="s">
        <v>426</v>
      </c>
      <c r="D149" s="148" t="s">
        <v>438</v>
      </c>
      <c r="N149" s="137" t="s">
        <v>271</v>
      </c>
      <c r="O149" s="137">
        <f>(4.3+4.3+4.8+1.05+0.85+0.85+0.2)*0.9+2.6*0.25</f>
        <v>15.364999999999998</v>
      </c>
      <c r="P149" s="148" t="s">
        <v>140</v>
      </c>
    </row>
    <row r="150" spans="1:16" ht="15.75" customHeight="1" x14ac:dyDescent="0.2">
      <c r="A150" s="48"/>
      <c r="B150" s="136" t="s">
        <v>427</v>
      </c>
      <c r="D150" s="148" t="s">
        <v>438</v>
      </c>
      <c r="N150" s="137" t="s">
        <v>271</v>
      </c>
      <c r="O150" s="137">
        <f>(4.3+4.3+4.8+1.05+0.85+0.85+0.2)*0.9+2.6*0.25</f>
        <v>15.364999999999998</v>
      </c>
      <c r="P150" s="148" t="s">
        <v>140</v>
      </c>
    </row>
    <row r="151" spans="1:16" ht="15.75" customHeight="1" x14ac:dyDescent="0.2">
      <c r="A151" s="48"/>
      <c r="B151" s="136" t="s">
        <v>428</v>
      </c>
      <c r="D151" s="148" t="s">
        <v>442</v>
      </c>
      <c r="N151" s="137" t="s">
        <v>271</v>
      </c>
      <c r="O151" s="137">
        <f>(1.8+1.8+2)*0.9+1*0.25</f>
        <v>5.29</v>
      </c>
      <c r="P151" s="148" t="s">
        <v>140</v>
      </c>
    </row>
    <row r="152" spans="1:16" ht="15.75" customHeight="1" x14ac:dyDescent="0.2">
      <c r="A152" s="149"/>
      <c r="B152" s="150" t="s">
        <v>429</v>
      </c>
      <c r="C152" s="142"/>
      <c r="D152" s="172" t="s">
        <v>441</v>
      </c>
      <c r="E152" s="142"/>
      <c r="F152" s="142"/>
      <c r="G152" s="142"/>
      <c r="H152" s="142"/>
      <c r="I152" s="142"/>
      <c r="J152" s="142"/>
      <c r="K152" s="142"/>
      <c r="L152" s="142"/>
      <c r="M152" s="142"/>
      <c r="N152" s="142" t="s">
        <v>271</v>
      </c>
      <c r="O152" s="142">
        <f>(2.25+2.25+1.85)*0.9+0.9*0.25</f>
        <v>5.9399999999999995</v>
      </c>
      <c r="P152" s="172" t="s">
        <v>140</v>
      </c>
    </row>
    <row r="153" spans="1:16" ht="15.75" customHeight="1" x14ac:dyDescent="0.2">
      <c r="A153" s="149" t="s">
        <v>150</v>
      </c>
      <c r="B153" s="150" t="s">
        <v>421</v>
      </c>
      <c r="C153" s="142"/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 s="167">
        <f>O145</f>
        <v>97.192499999999995</v>
      </c>
      <c r="P153" s="168" t="s">
        <v>140</v>
      </c>
    </row>
    <row r="154" spans="1:16" ht="15.75" customHeight="1" x14ac:dyDescent="0.2">
      <c r="A154" s="48" t="s">
        <v>151</v>
      </c>
      <c r="B154" s="136" t="s">
        <v>434</v>
      </c>
      <c r="O154" s="166">
        <f>SUM(O155:O160)</f>
        <v>192.29999999999998</v>
      </c>
      <c r="P154" s="177" t="s">
        <v>140</v>
      </c>
    </row>
    <row r="155" spans="1:16" ht="15.75" customHeight="1" x14ac:dyDescent="0.2">
      <c r="A155" s="48"/>
      <c r="B155" s="136" t="s">
        <v>424</v>
      </c>
      <c r="D155" s="188" t="s">
        <v>443</v>
      </c>
      <c r="E155" s="139"/>
      <c r="O155" s="137">
        <f>(4.3+1.75+1.3+1.4+1.4+0.65+0.65)*2</f>
        <v>22.900000000000002</v>
      </c>
      <c r="P155" s="148" t="s">
        <v>140</v>
      </c>
    </row>
    <row r="156" spans="1:16" ht="15.75" customHeight="1" x14ac:dyDescent="0.2">
      <c r="A156" s="48"/>
      <c r="B156" s="136" t="s">
        <v>425</v>
      </c>
      <c r="D156" s="188" t="s">
        <v>443</v>
      </c>
      <c r="E156" s="139"/>
      <c r="O156" s="137">
        <f>(4.3+1.75+1.3+1.4+1.4+0.65+0.65)*2</f>
        <v>22.900000000000002</v>
      </c>
      <c r="P156" s="148" t="s">
        <v>140</v>
      </c>
    </row>
    <row r="157" spans="1:16" ht="15.75" customHeight="1" x14ac:dyDescent="0.2">
      <c r="A157" s="48"/>
      <c r="B157" s="136" t="s">
        <v>426</v>
      </c>
      <c r="D157" s="189" t="s">
        <v>439</v>
      </c>
      <c r="O157" s="137">
        <f>(4.3+4.3+4.8+1.05+0.85+0.85+0.2)*2+(1.6*2+0.55*2+0.45+0.35*3+1.45*2)*2+2.6*2</f>
        <v>55.3</v>
      </c>
      <c r="P157" s="148" t="s">
        <v>140</v>
      </c>
    </row>
    <row r="158" spans="1:16" ht="15.75" customHeight="1" x14ac:dyDescent="0.2">
      <c r="A158" s="48"/>
      <c r="B158" s="136" t="s">
        <v>427</v>
      </c>
      <c r="D158" s="189" t="s">
        <v>440</v>
      </c>
      <c r="O158" s="137">
        <f>(4.3+4.3+4.8+1.05+0.85+0.85+0.2)*2+(1.45*6+0.55*2+0.45*2+0.35*6)*2+2.6*2</f>
        <v>63.5</v>
      </c>
      <c r="P158" s="148" t="s">
        <v>140</v>
      </c>
    </row>
    <row r="159" spans="1:16" ht="15.75" customHeight="1" x14ac:dyDescent="0.2">
      <c r="A159" s="48"/>
      <c r="B159" s="136" t="s">
        <v>428</v>
      </c>
      <c r="D159" s="148" t="s">
        <v>437</v>
      </c>
      <c r="N159" s="137" t="s">
        <v>271</v>
      </c>
      <c r="O159" s="137">
        <f>(1.8+1.8+2)*2+1*2</f>
        <v>13.2</v>
      </c>
      <c r="P159" s="148" t="s">
        <v>140</v>
      </c>
    </row>
    <row r="160" spans="1:16" ht="15.75" customHeight="1" x14ac:dyDescent="0.2">
      <c r="A160" s="149"/>
      <c r="B160" s="150" t="s">
        <v>429</v>
      </c>
      <c r="C160" s="142"/>
      <c r="D160" s="172" t="s">
        <v>436</v>
      </c>
      <c r="E160" s="142"/>
      <c r="F160" s="142"/>
      <c r="G160" s="142"/>
      <c r="H160" s="142"/>
      <c r="I160" s="142"/>
      <c r="J160" s="142"/>
      <c r="K160" s="142"/>
      <c r="L160" s="142"/>
      <c r="M160" s="142"/>
      <c r="N160" s="142" t="s">
        <v>271</v>
      </c>
      <c r="O160" s="142">
        <f>(2.25+2.25+1.85)*2+0.9*2</f>
        <v>14.5</v>
      </c>
      <c r="P160" s="172" t="s">
        <v>140</v>
      </c>
    </row>
    <row r="161" spans="1:16" ht="15.75" customHeight="1" x14ac:dyDescent="0.2">
      <c r="A161" s="190" t="s">
        <v>419</v>
      </c>
      <c r="B161" s="146" t="s">
        <v>435</v>
      </c>
      <c r="C161" s="147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147"/>
      <c r="O161" s="147">
        <f>O154</f>
        <v>192.29999999999998</v>
      </c>
      <c r="P161" s="169" t="s">
        <v>140</v>
      </c>
    </row>
    <row r="162" spans="1:16" ht="15.75" customHeight="1" x14ac:dyDescent="0.2">
      <c r="A162" s="176" t="s">
        <v>50</v>
      </c>
      <c r="B162" s="97" t="s">
        <v>416</v>
      </c>
      <c r="C162" s="167"/>
      <c r="D162" s="167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</row>
    <row r="163" spans="1:16" ht="15.75" customHeight="1" x14ac:dyDescent="0.2">
      <c r="A163" s="155" t="s">
        <v>412</v>
      </c>
      <c r="B163" s="156" t="s">
        <v>417</v>
      </c>
      <c r="C163" s="157"/>
      <c r="D163" s="157"/>
      <c r="E163" s="157"/>
      <c r="F163" s="157"/>
      <c r="G163" s="157"/>
      <c r="H163" s="157">
        <f>O165</f>
        <v>124.94500000000002</v>
      </c>
      <c r="I163" s="157" t="s">
        <v>285</v>
      </c>
      <c r="J163" s="157">
        <f>O169</f>
        <v>62.175000000000004</v>
      </c>
      <c r="K163" s="157"/>
      <c r="L163" s="157"/>
      <c r="M163" s="157"/>
      <c r="N163" s="157" t="s">
        <v>271</v>
      </c>
      <c r="O163" s="171">
        <f>SUM(H163,J163)</f>
        <v>187.12000000000003</v>
      </c>
      <c r="P163" s="177" t="s">
        <v>140</v>
      </c>
    </row>
    <row r="164" spans="1:16" ht="15.75" customHeight="1" x14ac:dyDescent="0.2">
      <c r="A164" s="149"/>
      <c r="B164" s="150" t="s">
        <v>456</v>
      </c>
      <c r="C164" s="142"/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67"/>
      <c r="P164" s="168"/>
    </row>
    <row r="165" spans="1:16" ht="15.75" customHeight="1" x14ac:dyDescent="0.2">
      <c r="A165" s="48" t="s">
        <v>413</v>
      </c>
      <c r="B165" s="136" t="s">
        <v>447</v>
      </c>
      <c r="O165" s="166">
        <f>SUM(O166:O168)</f>
        <v>124.94500000000002</v>
      </c>
      <c r="P165" s="175" t="s">
        <v>140</v>
      </c>
    </row>
    <row r="166" spans="1:16" ht="15.75" customHeight="1" x14ac:dyDescent="0.2">
      <c r="A166" s="48"/>
      <c r="B166" s="136" t="s">
        <v>448</v>
      </c>
      <c r="K166" s="137">
        <v>20.5</v>
      </c>
      <c r="L166" s="137" t="s">
        <v>273</v>
      </c>
      <c r="M166" s="137">
        <v>3.15</v>
      </c>
      <c r="N166" s="137" t="s">
        <v>271</v>
      </c>
      <c r="O166" s="137">
        <f>K166*M166</f>
        <v>64.575000000000003</v>
      </c>
      <c r="P166" s="148" t="s">
        <v>140</v>
      </c>
    </row>
    <row r="167" spans="1:16" ht="15.75" customHeight="1" x14ac:dyDescent="0.2">
      <c r="A167" s="48"/>
      <c r="B167" s="136" t="s">
        <v>449</v>
      </c>
      <c r="F167" s="139"/>
      <c r="G167" s="139"/>
      <c r="H167" s="139"/>
      <c r="I167" s="137">
        <v>2</v>
      </c>
      <c r="J167" s="137" t="s">
        <v>273</v>
      </c>
      <c r="K167" s="137">
        <f>5.4+0.2+0.7</f>
        <v>6.3000000000000007</v>
      </c>
      <c r="L167" s="137" t="s">
        <v>273</v>
      </c>
      <c r="M167" s="137">
        <v>3.15</v>
      </c>
      <c r="N167" s="137" t="s">
        <v>271</v>
      </c>
      <c r="O167" s="137">
        <f>I167*K167*M167</f>
        <v>39.690000000000005</v>
      </c>
      <c r="P167" s="148" t="s">
        <v>140</v>
      </c>
    </row>
    <row r="168" spans="1:16" ht="15.75" customHeight="1" x14ac:dyDescent="0.2">
      <c r="A168" s="149"/>
      <c r="B168" s="150" t="s">
        <v>422</v>
      </c>
      <c r="C168" s="142"/>
      <c r="D168" s="142"/>
      <c r="E168" s="142"/>
      <c r="F168" s="142"/>
      <c r="G168" s="142"/>
      <c r="H168" s="191" t="s">
        <v>735</v>
      </c>
      <c r="I168" s="142"/>
      <c r="J168" s="142"/>
      <c r="K168" s="142"/>
      <c r="L168" s="142"/>
      <c r="M168" s="142"/>
      <c r="N168" s="142" t="s">
        <v>271</v>
      </c>
      <c r="O168" s="142">
        <f>((3.9+3.9+0.2+0.2)+(3.3+3.3+2+2))*1.1</f>
        <v>20.68</v>
      </c>
      <c r="P168" s="172" t="s">
        <v>140</v>
      </c>
    </row>
    <row r="169" spans="1:16" ht="15.75" customHeight="1" x14ac:dyDescent="0.2">
      <c r="A169" s="48" t="s">
        <v>414</v>
      </c>
      <c r="B169" s="136" t="s">
        <v>446</v>
      </c>
      <c r="O169" s="166">
        <f>SUM(O170:O172)</f>
        <v>62.175000000000004</v>
      </c>
      <c r="P169" s="175" t="s">
        <v>140</v>
      </c>
    </row>
    <row r="170" spans="1:16" ht="15.75" customHeight="1" x14ac:dyDescent="0.2">
      <c r="A170" s="48"/>
      <c r="B170" s="136" t="s">
        <v>450</v>
      </c>
      <c r="H170" s="148" t="s">
        <v>451</v>
      </c>
      <c r="N170" s="137" t="s">
        <v>271</v>
      </c>
      <c r="O170" s="137">
        <f>(2*2.8*2.25+2*2.6*2.25+2*1.9*2.25)</f>
        <v>32.85</v>
      </c>
      <c r="P170" s="148" t="s">
        <v>140</v>
      </c>
    </row>
    <row r="171" spans="1:16" ht="15.75" customHeight="1" x14ac:dyDescent="0.2">
      <c r="A171" s="48"/>
      <c r="B171" s="136" t="s">
        <v>452</v>
      </c>
      <c r="H171" s="148" t="s">
        <v>453</v>
      </c>
      <c r="N171" s="137" t="s">
        <v>271</v>
      </c>
      <c r="O171" s="137">
        <f>9*(0.25+0.2+0.25)*2.9</f>
        <v>18.27</v>
      </c>
      <c r="P171" s="148" t="s">
        <v>140</v>
      </c>
    </row>
    <row r="172" spans="1:16" ht="15.75" customHeight="1" x14ac:dyDescent="0.2">
      <c r="A172" s="149"/>
      <c r="B172" s="150" t="s">
        <v>454</v>
      </c>
      <c r="C172" s="142"/>
      <c r="D172" s="142"/>
      <c r="E172" s="142"/>
      <c r="F172" s="142"/>
      <c r="G172" s="142"/>
      <c r="H172" s="172" t="s">
        <v>455</v>
      </c>
      <c r="I172" s="142"/>
      <c r="J172" s="142"/>
      <c r="K172" s="142"/>
      <c r="L172" s="142"/>
      <c r="M172" s="142"/>
      <c r="N172" s="142" t="s">
        <v>271</v>
      </c>
      <c r="O172" s="142">
        <f>20.1*0.55</f>
        <v>11.055000000000001</v>
      </c>
      <c r="P172" s="172" t="s">
        <v>140</v>
      </c>
    </row>
    <row r="173" spans="1:16" ht="15.75" customHeight="1" x14ac:dyDescent="0.2">
      <c r="A173" s="145" t="s">
        <v>415</v>
      </c>
      <c r="B173" s="146" t="s">
        <v>418</v>
      </c>
      <c r="C173" s="147"/>
      <c r="D173" s="147"/>
      <c r="E173" s="174" t="s">
        <v>457</v>
      </c>
      <c r="F173" s="147"/>
      <c r="G173" s="147"/>
      <c r="H173" s="147"/>
      <c r="I173" s="147"/>
      <c r="J173" s="174"/>
      <c r="K173" s="147"/>
      <c r="L173" s="147"/>
      <c r="M173" s="147"/>
      <c r="N173" s="147" t="s">
        <v>271</v>
      </c>
      <c r="O173" s="164">
        <f>(2*2.8+2*2.6+2*1.9)+3.9+3.3+2</f>
        <v>23.8</v>
      </c>
      <c r="P173" s="169" t="s">
        <v>140</v>
      </c>
    </row>
    <row r="174" spans="1:16" ht="15.75" customHeight="1" thickBot="1" x14ac:dyDescent="0.25">
      <c r="A174" s="48"/>
    </row>
    <row r="175" spans="1:16" ht="15.75" customHeight="1" thickBot="1" x14ac:dyDescent="0.25">
      <c r="A175" s="42" t="s">
        <v>52</v>
      </c>
      <c r="B175" s="140" t="s">
        <v>258</v>
      </c>
      <c r="C175" s="74"/>
      <c r="D175" s="74"/>
      <c r="E175" s="74"/>
      <c r="F175" s="74"/>
      <c r="G175" s="75"/>
      <c r="H175" s="141"/>
      <c r="I175" s="142"/>
      <c r="J175" s="142"/>
      <c r="K175" s="142"/>
      <c r="L175" s="142"/>
      <c r="M175" s="142"/>
      <c r="N175" s="142"/>
      <c r="O175" s="142"/>
      <c r="P175" s="142"/>
    </row>
    <row r="176" spans="1:16" ht="15.75" customHeight="1" x14ac:dyDescent="0.2">
      <c r="A176" s="63" t="s">
        <v>53</v>
      </c>
      <c r="B176" s="159" t="s">
        <v>468</v>
      </c>
      <c r="C176" s="160"/>
      <c r="D176" s="160"/>
      <c r="E176" s="160"/>
      <c r="F176" s="160"/>
      <c r="G176" s="160"/>
      <c r="H176" s="192" t="s">
        <v>470</v>
      </c>
      <c r="I176" s="160"/>
      <c r="J176" s="160"/>
      <c r="K176" s="160"/>
      <c r="L176" s="160"/>
      <c r="M176" s="160"/>
      <c r="N176" s="157" t="s">
        <v>271</v>
      </c>
      <c r="O176" s="171">
        <f>(16.99+16.99+18.42+18.42+3.6+4.16+9.6)*0.1+(2*38.6)*0.1</f>
        <v>16.537999999999997</v>
      </c>
      <c r="P176" s="177" t="s">
        <v>140</v>
      </c>
    </row>
    <row r="177" spans="1:16" ht="15.75" customHeight="1" x14ac:dyDescent="0.2">
      <c r="A177" s="149"/>
      <c r="B177" s="150" t="s">
        <v>473</v>
      </c>
      <c r="C177" s="142"/>
      <c r="D177" s="142"/>
      <c r="E177" s="142"/>
      <c r="F177" s="142"/>
      <c r="G177" s="142"/>
      <c r="H177" s="191" t="s">
        <v>474</v>
      </c>
      <c r="I177" s="142"/>
      <c r="J177" s="142"/>
      <c r="K177" s="142"/>
      <c r="L177" s="142"/>
      <c r="M177" s="142"/>
      <c r="N177" s="142"/>
      <c r="O177" s="167"/>
      <c r="P177" s="168"/>
    </row>
    <row r="178" spans="1:16" ht="15.75" customHeight="1" x14ac:dyDescent="0.2">
      <c r="A178" s="149" t="s">
        <v>54</v>
      </c>
      <c r="B178" s="150" t="s">
        <v>471</v>
      </c>
      <c r="C178" s="142"/>
      <c r="D178" s="142"/>
      <c r="E178" s="142"/>
      <c r="F178" s="142"/>
      <c r="G178" s="142"/>
      <c r="H178" s="191" t="s">
        <v>469</v>
      </c>
      <c r="I178" s="142"/>
      <c r="J178" s="142"/>
      <c r="K178" s="142"/>
      <c r="L178" s="142"/>
      <c r="M178" s="142"/>
      <c r="N178" s="142" t="s">
        <v>271</v>
      </c>
      <c r="O178" s="167">
        <f>16.99+16.99+18.42+18.42+3.6+4.16+9.6</f>
        <v>88.179999999999978</v>
      </c>
      <c r="P178" s="168" t="s">
        <v>140</v>
      </c>
    </row>
    <row r="179" spans="1:16" ht="15.75" customHeight="1" x14ac:dyDescent="0.2">
      <c r="A179" s="145" t="s">
        <v>55</v>
      </c>
      <c r="B179" s="146" t="s">
        <v>472</v>
      </c>
      <c r="C179" s="147"/>
      <c r="D179" s="147"/>
      <c r="E179" s="147"/>
      <c r="F179" s="147"/>
      <c r="G179" s="147"/>
      <c r="H179" s="147"/>
      <c r="I179" s="147"/>
      <c r="J179" s="147"/>
      <c r="K179" s="147"/>
      <c r="L179" s="147"/>
      <c r="M179" s="147"/>
      <c r="N179" s="147" t="s">
        <v>271</v>
      </c>
      <c r="O179" s="164">
        <f>16.99+16.99+18.42+18.42+3.6+4.16+9.6</f>
        <v>88.179999999999978</v>
      </c>
      <c r="P179" s="169" t="s">
        <v>140</v>
      </c>
    </row>
    <row r="180" spans="1:16" ht="15.75" customHeight="1" x14ac:dyDescent="0.2">
      <c r="A180" s="48" t="s">
        <v>56</v>
      </c>
      <c r="B180" s="136" t="s">
        <v>476</v>
      </c>
      <c r="H180" s="148"/>
      <c r="N180" s="137" t="s">
        <v>271</v>
      </c>
      <c r="O180" s="171">
        <f>SUM(O181:O182)</f>
        <v>42.699999999999996</v>
      </c>
      <c r="P180" s="177" t="s">
        <v>140</v>
      </c>
    </row>
    <row r="181" spans="1:16" ht="15.75" customHeight="1" x14ac:dyDescent="0.2">
      <c r="A181" s="48"/>
      <c r="B181" s="136" t="s">
        <v>475</v>
      </c>
      <c r="H181" s="148" t="s">
        <v>478</v>
      </c>
      <c r="N181" s="137" t="s">
        <v>271</v>
      </c>
      <c r="O181" s="160">
        <f>(4.3+2.4+1.45+1.75+1.45)*2</f>
        <v>22.699999999999996</v>
      </c>
      <c r="P181" s="163" t="s">
        <v>140</v>
      </c>
    </row>
    <row r="182" spans="1:16" ht="15.75" customHeight="1" x14ac:dyDescent="0.2">
      <c r="A182" s="149"/>
      <c r="B182" s="150" t="s">
        <v>477</v>
      </c>
      <c r="C182" s="142"/>
      <c r="D182" s="142"/>
      <c r="E182" s="142"/>
      <c r="F182" s="142"/>
      <c r="G182" s="142"/>
      <c r="H182" s="191" t="s">
        <v>479</v>
      </c>
      <c r="I182" s="142"/>
      <c r="J182" s="142"/>
      <c r="K182" s="142"/>
      <c r="L182" s="142"/>
      <c r="M182" s="142"/>
      <c r="N182" s="142" t="s">
        <v>271</v>
      </c>
      <c r="O182" s="142">
        <f>(0.5+0.5+2*2.8+2*2.6+1+0.9)+(9*(0.25+0.2+0.25))</f>
        <v>20</v>
      </c>
      <c r="P182" s="172" t="s">
        <v>140</v>
      </c>
    </row>
    <row r="183" spans="1:16" ht="15.75" customHeight="1" x14ac:dyDescent="0.2">
      <c r="A183" s="145" t="s">
        <v>57</v>
      </c>
      <c r="B183" s="146" t="s">
        <v>480</v>
      </c>
      <c r="C183" s="147"/>
      <c r="D183" s="147"/>
      <c r="E183" s="147"/>
      <c r="F183" s="147"/>
      <c r="G183" s="147"/>
      <c r="H183" s="181"/>
      <c r="I183" s="174"/>
      <c r="J183" s="147"/>
      <c r="K183" s="147"/>
      <c r="L183" s="147"/>
      <c r="M183" s="147"/>
      <c r="N183" s="147"/>
      <c r="O183" s="164">
        <v>108.42</v>
      </c>
      <c r="P183" s="169" t="s">
        <v>140</v>
      </c>
    </row>
    <row r="184" spans="1:16" ht="15.75" customHeight="1" x14ac:dyDescent="0.2">
      <c r="A184" s="145" t="s">
        <v>481</v>
      </c>
      <c r="B184" s="146" t="s">
        <v>483</v>
      </c>
      <c r="C184" s="147"/>
      <c r="D184" s="147"/>
      <c r="E184" s="147"/>
      <c r="F184" s="147"/>
      <c r="G184" s="147"/>
      <c r="H184" s="181"/>
      <c r="I184" s="174" t="s">
        <v>484</v>
      </c>
      <c r="J184" s="147"/>
      <c r="K184" s="147"/>
      <c r="L184" s="147"/>
      <c r="M184" s="147"/>
      <c r="N184" s="147" t="s">
        <v>271</v>
      </c>
      <c r="O184" s="164">
        <f>2*38.6</f>
        <v>77.2</v>
      </c>
      <c r="P184" s="169" t="s">
        <v>140</v>
      </c>
    </row>
    <row r="185" spans="1:16" ht="15.75" customHeight="1" x14ac:dyDescent="0.2">
      <c r="A185" s="145" t="s">
        <v>482</v>
      </c>
      <c r="B185" s="146" t="s">
        <v>488</v>
      </c>
      <c r="C185" s="147"/>
      <c r="D185" s="147"/>
      <c r="E185" s="147"/>
      <c r="F185" s="209" t="s">
        <v>757</v>
      </c>
      <c r="G185" s="152"/>
      <c r="H185" s="152"/>
      <c r="I185" s="174"/>
      <c r="J185" s="147"/>
      <c r="K185" s="147"/>
      <c r="L185" s="147"/>
      <c r="M185" s="147"/>
      <c r="N185" s="147" t="s">
        <v>271</v>
      </c>
      <c r="O185" s="164">
        <f>((2.1*0.9+1.1*1.9+20.1*2.1+(3.5+3.2)*1.9/2+(0.8+0.3)*1.95/2))*0.07</f>
        <v>3.7539250000000006</v>
      </c>
      <c r="P185" s="169" t="s">
        <v>139</v>
      </c>
    </row>
    <row r="186" spans="1:16" ht="15.75" customHeight="1" x14ac:dyDescent="0.2">
      <c r="A186" s="149" t="s">
        <v>485</v>
      </c>
      <c r="B186" s="150" t="s">
        <v>486</v>
      </c>
      <c r="C186" s="142"/>
      <c r="D186" s="142"/>
      <c r="E186" s="142"/>
      <c r="F186" s="142"/>
      <c r="G186" s="142"/>
      <c r="H186" s="172" t="s">
        <v>487</v>
      </c>
      <c r="I186" s="172"/>
      <c r="J186" s="142"/>
      <c r="K186" s="142"/>
      <c r="L186" s="142"/>
      <c r="M186" s="142"/>
      <c r="N186" s="142" t="s">
        <v>271</v>
      </c>
      <c r="O186" s="167">
        <f>4.3+0.8+22.75+0.9</f>
        <v>28.75</v>
      </c>
      <c r="P186" s="168" t="s">
        <v>47</v>
      </c>
    </row>
    <row r="187" spans="1:16" ht="15.75" customHeight="1" thickBot="1" x14ac:dyDescent="0.25">
      <c r="A187" s="48"/>
    </row>
    <row r="188" spans="1:16" ht="15.75" customHeight="1" thickBot="1" x14ac:dyDescent="0.25">
      <c r="A188" s="42" t="s">
        <v>154</v>
      </c>
      <c r="B188" s="140" t="s">
        <v>259</v>
      </c>
      <c r="C188" s="74"/>
      <c r="D188" s="74"/>
      <c r="E188" s="74"/>
      <c r="F188" s="74"/>
      <c r="G188" s="75"/>
      <c r="H188" s="141"/>
      <c r="I188" s="142"/>
      <c r="J188" s="142"/>
      <c r="K188" s="142"/>
      <c r="L188" s="142"/>
      <c r="M188" s="142"/>
      <c r="N188" s="142"/>
      <c r="O188" s="142"/>
      <c r="P188" s="142"/>
    </row>
    <row r="189" spans="1:16" ht="15.75" customHeight="1" x14ac:dyDescent="0.2">
      <c r="A189" s="176" t="s">
        <v>155</v>
      </c>
      <c r="B189" s="97" t="s">
        <v>458</v>
      </c>
      <c r="C189" s="142"/>
      <c r="D189" s="142"/>
      <c r="E189" s="142"/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  <c r="P189" s="142"/>
    </row>
    <row r="190" spans="1:16" ht="15.75" customHeight="1" x14ac:dyDescent="0.2">
      <c r="A190" s="145" t="s">
        <v>157</v>
      </c>
      <c r="B190" s="146" t="s">
        <v>459</v>
      </c>
      <c r="C190" s="147"/>
      <c r="D190" s="147"/>
      <c r="E190" s="147"/>
      <c r="F190" s="147"/>
      <c r="G190" s="147"/>
      <c r="H190" s="174" t="s">
        <v>465</v>
      </c>
      <c r="I190" s="147"/>
      <c r="J190" s="147"/>
      <c r="K190" s="147"/>
      <c r="L190" s="147"/>
      <c r="M190" s="147"/>
      <c r="N190" s="147"/>
      <c r="O190" s="164">
        <f>O146</f>
        <v>111.37499999999999</v>
      </c>
      <c r="P190" s="169" t="s">
        <v>140</v>
      </c>
    </row>
    <row r="191" spans="1:16" ht="15.75" customHeight="1" x14ac:dyDescent="0.2">
      <c r="A191" s="145" t="s">
        <v>159</v>
      </c>
      <c r="B191" s="146" t="s">
        <v>460</v>
      </c>
      <c r="C191" s="147"/>
      <c r="D191" s="147"/>
      <c r="E191" s="147"/>
      <c r="F191" s="147"/>
      <c r="G191" s="147"/>
      <c r="H191" s="174" t="s">
        <v>466</v>
      </c>
      <c r="I191" s="147"/>
      <c r="J191" s="147"/>
      <c r="K191" s="147"/>
      <c r="L191" s="147"/>
      <c r="M191" s="147"/>
      <c r="N191" s="147"/>
      <c r="O191" s="164">
        <f>O153</f>
        <v>97.192499999999995</v>
      </c>
      <c r="P191" s="169" t="s">
        <v>140</v>
      </c>
    </row>
    <row r="192" spans="1:16" ht="15.75" customHeight="1" x14ac:dyDescent="0.2">
      <c r="A192" s="149" t="s">
        <v>166</v>
      </c>
      <c r="B192" s="150" t="s">
        <v>461</v>
      </c>
      <c r="C192" s="142"/>
      <c r="D192" s="142"/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  <c r="O192" s="167">
        <f>O190</f>
        <v>111.37499999999999</v>
      </c>
      <c r="P192" s="169" t="s">
        <v>140</v>
      </c>
    </row>
    <row r="193" spans="1:16" ht="15.75" customHeight="1" x14ac:dyDescent="0.2">
      <c r="A193" s="149" t="s">
        <v>167</v>
      </c>
      <c r="B193" s="150" t="s">
        <v>462</v>
      </c>
      <c r="C193" s="142"/>
      <c r="D193" s="142"/>
      <c r="E193" s="142"/>
      <c r="F193" s="142"/>
      <c r="G193" s="142"/>
      <c r="H193" s="142"/>
      <c r="I193" s="142"/>
      <c r="J193" s="142"/>
      <c r="K193" s="142"/>
      <c r="L193" s="142"/>
      <c r="M193" s="142"/>
      <c r="N193" s="142"/>
      <c r="O193" s="167">
        <f>O191</f>
        <v>97.192499999999995</v>
      </c>
      <c r="P193" s="169" t="s">
        <v>140</v>
      </c>
    </row>
    <row r="194" spans="1:16" ht="15.75" customHeight="1" x14ac:dyDescent="0.2">
      <c r="A194" s="149" t="s">
        <v>168</v>
      </c>
      <c r="B194" s="150" t="s">
        <v>463</v>
      </c>
      <c r="C194" s="142"/>
      <c r="D194" s="142"/>
      <c r="E194" s="142"/>
      <c r="F194" s="142"/>
      <c r="G194" s="142"/>
      <c r="H194" s="172" t="s">
        <v>467</v>
      </c>
      <c r="I194" s="142"/>
      <c r="J194" s="142"/>
      <c r="K194" s="142"/>
      <c r="L194" s="142"/>
      <c r="M194" s="142"/>
      <c r="N194" s="142"/>
      <c r="O194" s="167">
        <f>2*0.7*1.9*8</f>
        <v>21.279999999999998</v>
      </c>
      <c r="P194" s="169" t="s">
        <v>140</v>
      </c>
    </row>
    <row r="195" spans="1:16" ht="15.75" customHeight="1" x14ac:dyDescent="0.2">
      <c r="A195" s="145" t="s">
        <v>169</v>
      </c>
      <c r="B195" s="146" t="s">
        <v>464</v>
      </c>
      <c r="C195" s="147"/>
      <c r="D195" s="147"/>
      <c r="E195" s="147"/>
      <c r="F195" s="147"/>
      <c r="G195" s="147"/>
      <c r="H195" s="147"/>
      <c r="I195" s="147"/>
      <c r="J195" s="147"/>
      <c r="K195" s="147"/>
      <c r="L195" s="147"/>
      <c r="M195" s="147"/>
      <c r="N195" s="147"/>
      <c r="O195" s="164">
        <f>2*0.7*1.9*8</f>
        <v>21.279999999999998</v>
      </c>
      <c r="P195" s="169" t="s">
        <v>140</v>
      </c>
    </row>
    <row r="196" spans="1:16" ht="15.75" customHeight="1" x14ac:dyDescent="0.2">
      <c r="A196" s="91" t="s">
        <v>156</v>
      </c>
      <c r="B196" s="90" t="s">
        <v>489</v>
      </c>
      <c r="C196" s="147"/>
      <c r="D196" s="147"/>
      <c r="E196" s="147"/>
      <c r="F196" s="147"/>
      <c r="G196" s="147"/>
      <c r="H196" s="147"/>
      <c r="I196" s="147"/>
      <c r="J196" s="147"/>
      <c r="K196" s="147"/>
      <c r="L196" s="147"/>
      <c r="M196" s="147"/>
      <c r="N196" s="147"/>
      <c r="O196" s="164"/>
      <c r="P196" s="169"/>
    </row>
    <row r="197" spans="1:16" ht="15.75" customHeight="1" x14ac:dyDescent="0.2">
      <c r="A197" s="63" t="s">
        <v>161</v>
      </c>
      <c r="B197" s="159" t="s">
        <v>490</v>
      </c>
      <c r="C197" s="160"/>
      <c r="D197" s="160"/>
      <c r="E197" s="160"/>
      <c r="F197" s="160"/>
      <c r="G197" s="160"/>
      <c r="H197" s="160"/>
      <c r="I197" s="160"/>
      <c r="J197" s="160"/>
      <c r="K197" s="160"/>
      <c r="L197" s="160"/>
      <c r="M197" s="160"/>
      <c r="N197" s="160"/>
      <c r="O197" s="173"/>
      <c r="P197" s="175"/>
    </row>
    <row r="198" spans="1:16" ht="15.75" customHeight="1" x14ac:dyDescent="0.2">
      <c r="A198" s="149"/>
      <c r="B198" s="150" t="s">
        <v>492</v>
      </c>
      <c r="C198" s="142"/>
      <c r="D198" s="142"/>
      <c r="E198" s="142"/>
      <c r="F198" s="142"/>
      <c r="G198" s="142"/>
      <c r="H198" s="142"/>
      <c r="I198" s="142">
        <f>O163</f>
        <v>187.12000000000003</v>
      </c>
      <c r="J198" s="172" t="s">
        <v>140</v>
      </c>
      <c r="K198" s="142" t="s">
        <v>308</v>
      </c>
      <c r="L198" s="172">
        <f>O132</f>
        <v>53.900000000000006</v>
      </c>
      <c r="M198" s="172" t="s">
        <v>140</v>
      </c>
      <c r="N198" s="142" t="s">
        <v>271</v>
      </c>
      <c r="O198" s="167">
        <f>I198-L198</f>
        <v>133.22000000000003</v>
      </c>
      <c r="P198" s="168" t="s">
        <v>140</v>
      </c>
    </row>
    <row r="199" spans="1:16" ht="15.75" customHeight="1" x14ac:dyDescent="0.2">
      <c r="A199" s="145" t="s">
        <v>162</v>
      </c>
      <c r="B199" s="146" t="s">
        <v>491</v>
      </c>
      <c r="C199" s="147"/>
      <c r="D199" s="147"/>
      <c r="E199" s="147"/>
      <c r="F199" s="147"/>
      <c r="G199" s="147"/>
      <c r="H199" s="147"/>
      <c r="I199" s="147"/>
      <c r="J199" s="147"/>
      <c r="K199" s="147"/>
      <c r="L199" s="147"/>
      <c r="M199" s="147"/>
      <c r="N199" s="142" t="s">
        <v>271</v>
      </c>
      <c r="O199" s="167">
        <f>O198</f>
        <v>133.22000000000003</v>
      </c>
      <c r="P199" s="168" t="s">
        <v>140</v>
      </c>
    </row>
    <row r="200" spans="1:16" ht="15.75" customHeight="1" thickBot="1" x14ac:dyDescent="0.25">
      <c r="A200" s="48"/>
    </row>
    <row r="201" spans="1:16" ht="15.75" customHeight="1" thickBot="1" x14ac:dyDescent="0.25">
      <c r="A201" s="42" t="s">
        <v>60</v>
      </c>
      <c r="B201" s="140" t="s">
        <v>260</v>
      </c>
      <c r="C201" s="74"/>
      <c r="D201" s="74"/>
      <c r="E201" s="74"/>
      <c r="F201" s="74"/>
      <c r="G201" s="75"/>
      <c r="H201" s="141"/>
      <c r="I201" s="142"/>
      <c r="J201" s="142"/>
      <c r="K201" s="142"/>
      <c r="L201" s="142"/>
      <c r="M201" s="142"/>
      <c r="N201" s="142"/>
      <c r="O201" s="142"/>
      <c r="P201" s="142"/>
    </row>
    <row r="202" spans="1:16" ht="15.75" customHeight="1" x14ac:dyDescent="0.2">
      <c r="A202" s="176" t="s">
        <v>62</v>
      </c>
      <c r="B202" s="97" t="s">
        <v>493</v>
      </c>
      <c r="C202" s="142"/>
      <c r="D202" s="142"/>
      <c r="E202" s="142"/>
      <c r="F202" s="142"/>
      <c r="G202" s="142"/>
      <c r="H202" s="142"/>
      <c r="I202" s="142"/>
      <c r="J202" s="142"/>
      <c r="K202" s="142"/>
      <c r="L202" s="142"/>
      <c r="M202" s="142"/>
      <c r="N202" s="142"/>
      <c r="O202" s="142"/>
      <c r="P202" s="142"/>
    </row>
    <row r="203" spans="1:16" ht="15.75" customHeight="1" x14ac:dyDescent="0.2">
      <c r="A203" s="145" t="s">
        <v>170</v>
      </c>
      <c r="B203" s="146" t="s">
        <v>496</v>
      </c>
      <c r="C203" s="147"/>
      <c r="D203" s="147"/>
      <c r="E203" s="147"/>
      <c r="F203" s="147"/>
      <c r="G203" s="147"/>
      <c r="H203" s="147"/>
      <c r="I203" s="147"/>
      <c r="J203" s="147"/>
      <c r="K203" s="147"/>
      <c r="L203" s="147"/>
      <c r="M203" s="147"/>
      <c r="N203" s="147" t="s">
        <v>271</v>
      </c>
      <c r="O203" s="164">
        <v>15</v>
      </c>
      <c r="P203" s="169" t="s">
        <v>47</v>
      </c>
    </row>
    <row r="204" spans="1:16" ht="15.75" customHeight="1" x14ac:dyDescent="0.2">
      <c r="A204" s="145" t="s">
        <v>171</v>
      </c>
      <c r="B204" s="146" t="s">
        <v>498</v>
      </c>
      <c r="C204" s="147"/>
      <c r="D204" s="147"/>
      <c r="E204" s="147"/>
      <c r="F204" s="147"/>
      <c r="G204" s="147"/>
      <c r="H204" s="147"/>
      <c r="I204" s="147"/>
      <c r="J204" s="174" t="s">
        <v>497</v>
      </c>
      <c r="K204" s="147"/>
      <c r="L204" s="147"/>
      <c r="M204" s="147"/>
      <c r="N204" s="147" t="s">
        <v>271</v>
      </c>
      <c r="O204" s="164">
        <f>5*(15+1.5+1.5)</f>
        <v>90</v>
      </c>
      <c r="P204" s="169" t="s">
        <v>47</v>
      </c>
    </row>
    <row r="205" spans="1:16" ht="15.75" customHeight="1" x14ac:dyDescent="0.2">
      <c r="A205" s="149" t="s">
        <v>494</v>
      </c>
      <c r="B205" s="150" t="s">
        <v>505</v>
      </c>
      <c r="C205" s="142"/>
      <c r="D205" s="142"/>
      <c r="E205" s="142"/>
      <c r="F205" s="142"/>
      <c r="G205" s="142"/>
      <c r="H205" s="142"/>
      <c r="I205" s="142"/>
      <c r="J205" s="172"/>
      <c r="K205" s="142"/>
      <c r="L205" s="142"/>
      <c r="M205" s="142"/>
      <c r="N205" s="142"/>
      <c r="O205" s="167">
        <v>2</v>
      </c>
      <c r="P205" s="168" t="s">
        <v>77</v>
      </c>
    </row>
    <row r="206" spans="1:16" ht="15.75" customHeight="1" x14ac:dyDescent="0.2">
      <c r="A206" s="149" t="s">
        <v>495</v>
      </c>
      <c r="B206" s="150" t="s">
        <v>500</v>
      </c>
      <c r="C206" s="142"/>
      <c r="D206" s="142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67">
        <v>1</v>
      </c>
      <c r="P206" s="168" t="s">
        <v>77</v>
      </c>
    </row>
    <row r="207" spans="1:16" ht="15.75" customHeight="1" x14ac:dyDescent="0.2">
      <c r="A207" s="149" t="s">
        <v>504</v>
      </c>
      <c r="B207" s="150" t="s">
        <v>501</v>
      </c>
      <c r="C207" s="142"/>
      <c r="D207" s="142"/>
      <c r="E207" s="142"/>
      <c r="F207" s="142"/>
      <c r="G207" s="142"/>
      <c r="H207" s="142"/>
      <c r="I207" s="142"/>
      <c r="J207" s="172" t="s">
        <v>502</v>
      </c>
      <c r="K207" s="142"/>
      <c r="L207" s="142"/>
      <c r="M207" s="142"/>
      <c r="N207" s="142"/>
      <c r="O207" s="167">
        <v>2</v>
      </c>
      <c r="P207" s="168" t="s">
        <v>77</v>
      </c>
    </row>
    <row r="208" spans="1:16" ht="15.75" customHeight="1" x14ac:dyDescent="0.2">
      <c r="A208" s="176" t="s">
        <v>63</v>
      </c>
      <c r="B208" s="97" t="s">
        <v>508</v>
      </c>
      <c r="C208" s="142"/>
      <c r="D208" s="142"/>
      <c r="E208" s="142"/>
      <c r="F208" s="142"/>
      <c r="G208" s="142"/>
      <c r="H208" s="142"/>
      <c r="I208" s="142"/>
      <c r="J208" s="142"/>
      <c r="K208" s="142"/>
      <c r="L208" s="142"/>
      <c r="M208" s="142"/>
      <c r="N208" s="142"/>
      <c r="O208" s="142"/>
      <c r="P208" s="172"/>
    </row>
    <row r="209" spans="1:24" ht="15.75" customHeight="1" x14ac:dyDescent="0.2">
      <c r="A209" s="145" t="s">
        <v>172</v>
      </c>
      <c r="B209" s="146" t="s">
        <v>509</v>
      </c>
      <c r="C209" s="147"/>
      <c r="D209" s="147"/>
      <c r="E209" s="147"/>
      <c r="F209" s="147"/>
      <c r="G209" s="147"/>
      <c r="H209" s="174" t="s">
        <v>512</v>
      </c>
      <c r="I209" s="147"/>
      <c r="J209" s="147"/>
      <c r="K209" s="147"/>
      <c r="L209" s="147"/>
      <c r="M209" s="147"/>
      <c r="N209" s="147" t="s">
        <v>271</v>
      </c>
      <c r="O209" s="164">
        <v>9</v>
      </c>
      <c r="P209" s="169" t="s">
        <v>77</v>
      </c>
    </row>
    <row r="210" spans="1:24" ht="15.75" customHeight="1" x14ac:dyDescent="0.2">
      <c r="A210" s="145" t="s">
        <v>174</v>
      </c>
      <c r="B210" s="146" t="s">
        <v>511</v>
      </c>
      <c r="C210" s="147"/>
      <c r="D210" s="147"/>
      <c r="E210" s="147"/>
      <c r="F210" s="147"/>
      <c r="G210" s="147"/>
      <c r="H210" s="174" t="s">
        <v>513</v>
      </c>
      <c r="I210" s="147"/>
      <c r="J210" s="147"/>
      <c r="K210" s="147"/>
      <c r="L210" s="147"/>
      <c r="M210" s="147"/>
      <c r="N210" s="147" t="s">
        <v>271</v>
      </c>
      <c r="O210" s="164">
        <v>3</v>
      </c>
      <c r="P210" s="169" t="s">
        <v>77</v>
      </c>
    </row>
    <row r="211" spans="1:24" ht="15.75" customHeight="1" x14ac:dyDescent="0.2">
      <c r="A211" s="145" t="s">
        <v>507</v>
      </c>
      <c r="B211" s="146" t="s">
        <v>510</v>
      </c>
      <c r="C211" s="147"/>
      <c r="D211" s="147"/>
      <c r="E211" s="147"/>
      <c r="F211" s="147"/>
      <c r="G211" s="147"/>
      <c r="H211" s="174" t="s">
        <v>514</v>
      </c>
      <c r="I211" s="147"/>
      <c r="J211" s="147"/>
      <c r="K211" s="147"/>
      <c r="L211" s="147"/>
      <c r="M211" s="147"/>
      <c r="N211" s="147" t="s">
        <v>271</v>
      </c>
      <c r="O211" s="164">
        <v>3</v>
      </c>
      <c r="P211" s="169" t="s">
        <v>77</v>
      </c>
      <c r="Q211" s="160"/>
      <c r="R211" s="160"/>
      <c r="S211" s="160"/>
      <c r="T211" s="160"/>
      <c r="U211" s="160"/>
      <c r="V211" s="173"/>
      <c r="W211" s="173"/>
      <c r="X211" s="196"/>
    </row>
    <row r="212" spans="1:24" ht="15.75" customHeight="1" x14ac:dyDescent="0.2">
      <c r="A212" s="176" t="s">
        <v>64</v>
      </c>
      <c r="B212" s="97" t="s">
        <v>515</v>
      </c>
      <c r="C212" s="142"/>
      <c r="D212" s="142"/>
      <c r="E212" s="142"/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P212" s="172"/>
    </row>
    <row r="213" spans="1:24" ht="15.75" customHeight="1" x14ac:dyDescent="0.2">
      <c r="A213" s="149" t="s">
        <v>176</v>
      </c>
      <c r="B213" s="150" t="s">
        <v>516</v>
      </c>
      <c r="C213" s="142"/>
      <c r="D213" s="142"/>
      <c r="E213" s="142"/>
      <c r="F213" s="142"/>
      <c r="G213" s="142"/>
      <c r="H213" s="172" t="s">
        <v>518</v>
      </c>
      <c r="I213" s="142"/>
      <c r="J213" s="142"/>
      <c r="K213" s="142"/>
      <c r="L213" s="142"/>
      <c r="M213" s="142"/>
      <c r="N213" s="147" t="s">
        <v>271</v>
      </c>
      <c r="O213" s="164">
        <v>15</v>
      </c>
      <c r="P213" s="169" t="s">
        <v>77</v>
      </c>
    </row>
    <row r="214" spans="1:24" ht="15.75" customHeight="1" x14ac:dyDescent="0.2">
      <c r="A214" s="149" t="s">
        <v>177</v>
      </c>
      <c r="B214" s="150" t="s">
        <v>517</v>
      </c>
      <c r="C214" s="142"/>
      <c r="D214" s="142"/>
      <c r="E214" s="142"/>
      <c r="F214" s="142"/>
      <c r="G214" s="142"/>
      <c r="H214" s="172" t="s">
        <v>518</v>
      </c>
      <c r="I214" s="142"/>
      <c r="J214" s="142"/>
      <c r="K214" s="142"/>
      <c r="L214" s="142"/>
      <c r="M214" s="142"/>
      <c r="N214" s="147" t="s">
        <v>271</v>
      </c>
      <c r="O214" s="164">
        <f>O213</f>
        <v>15</v>
      </c>
      <c r="P214" s="169" t="s">
        <v>77</v>
      </c>
    </row>
    <row r="215" spans="1:24" ht="15.75" customHeight="1" x14ac:dyDescent="0.2">
      <c r="A215" s="176" t="s">
        <v>113</v>
      </c>
      <c r="B215" s="97" t="s">
        <v>520</v>
      </c>
      <c r="C215" s="142"/>
      <c r="D215" s="142"/>
      <c r="E215" s="142"/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  <c r="P215" s="172"/>
    </row>
    <row r="216" spans="1:24" ht="15.75" customHeight="1" x14ac:dyDescent="0.2">
      <c r="A216" s="149" t="s">
        <v>178</v>
      </c>
      <c r="B216" s="150" t="s">
        <v>523</v>
      </c>
      <c r="C216" s="142"/>
      <c r="D216" s="142"/>
      <c r="E216" s="142"/>
      <c r="F216" s="142"/>
      <c r="G216" s="142"/>
      <c r="H216" s="172" t="s">
        <v>518</v>
      </c>
      <c r="I216" s="142"/>
      <c r="J216" s="142"/>
      <c r="K216" s="142"/>
      <c r="L216" s="142"/>
      <c r="M216" s="142"/>
      <c r="N216" s="147" t="s">
        <v>271</v>
      </c>
      <c r="O216" s="164">
        <v>15</v>
      </c>
      <c r="P216" s="169" t="s">
        <v>77</v>
      </c>
    </row>
    <row r="217" spans="1:24" ht="15.75" customHeight="1" x14ac:dyDescent="0.2">
      <c r="A217" s="149" t="s">
        <v>180</v>
      </c>
      <c r="B217" s="150" t="s">
        <v>521</v>
      </c>
      <c r="C217" s="142"/>
      <c r="D217" s="142"/>
      <c r="E217" s="142"/>
      <c r="F217" s="142"/>
      <c r="G217" s="142"/>
      <c r="H217" s="172" t="s">
        <v>518</v>
      </c>
      <c r="I217" s="142"/>
      <c r="J217" s="142"/>
      <c r="K217" s="142"/>
      <c r="L217" s="142"/>
      <c r="M217" s="142"/>
      <c r="N217" s="147" t="s">
        <v>271</v>
      </c>
      <c r="O217" s="164">
        <v>10</v>
      </c>
      <c r="P217" s="169" t="s">
        <v>77</v>
      </c>
    </row>
    <row r="218" spans="1:24" ht="15.75" customHeight="1" x14ac:dyDescent="0.2">
      <c r="A218" s="149" t="s">
        <v>181</v>
      </c>
      <c r="B218" s="150" t="s">
        <v>522</v>
      </c>
      <c r="C218" s="142"/>
      <c r="D218" s="142"/>
      <c r="E218" s="142"/>
      <c r="F218" s="142"/>
      <c r="G218" s="142"/>
      <c r="H218" s="172" t="s">
        <v>518</v>
      </c>
      <c r="I218" s="142"/>
      <c r="J218" s="142"/>
      <c r="K218" s="142"/>
      <c r="L218" s="142"/>
      <c r="M218" s="142"/>
      <c r="N218" s="147" t="s">
        <v>271</v>
      </c>
      <c r="O218" s="164">
        <v>4</v>
      </c>
      <c r="P218" s="169" t="s">
        <v>77</v>
      </c>
    </row>
    <row r="219" spans="1:24" ht="15.75" customHeight="1" x14ac:dyDescent="0.2">
      <c r="A219" s="176" t="s">
        <v>114</v>
      </c>
      <c r="B219" s="97" t="s">
        <v>519</v>
      </c>
      <c r="C219" s="142"/>
      <c r="D219" s="142"/>
      <c r="E219" s="142"/>
      <c r="F219" s="142"/>
      <c r="G219" s="142"/>
      <c r="H219" s="142"/>
      <c r="I219" s="142"/>
      <c r="J219" s="142"/>
      <c r="K219" s="142"/>
      <c r="L219" s="142"/>
      <c r="M219" s="142"/>
      <c r="N219" s="142"/>
      <c r="O219" s="142"/>
      <c r="P219" s="142"/>
    </row>
    <row r="220" spans="1:24" ht="15.75" customHeight="1" x14ac:dyDescent="0.2">
      <c r="A220" s="145" t="s">
        <v>182</v>
      </c>
      <c r="B220" s="146" t="s">
        <v>524</v>
      </c>
      <c r="C220" s="147"/>
      <c r="D220" s="147"/>
      <c r="E220" s="147"/>
      <c r="F220" s="147"/>
      <c r="G220" s="147"/>
      <c r="H220" s="174" t="s">
        <v>525</v>
      </c>
      <c r="I220" s="147"/>
      <c r="J220" s="147"/>
      <c r="K220" s="147"/>
      <c r="L220" s="147"/>
      <c r="M220" s="147"/>
      <c r="N220" s="147" t="s">
        <v>271</v>
      </c>
      <c r="O220" s="164">
        <f>5*4</f>
        <v>20</v>
      </c>
      <c r="P220" s="169" t="s">
        <v>77</v>
      </c>
    </row>
    <row r="221" spans="1:24" ht="15.75" customHeight="1" x14ac:dyDescent="0.2">
      <c r="A221" s="145" t="s">
        <v>183</v>
      </c>
      <c r="B221" s="146" t="s">
        <v>526</v>
      </c>
      <c r="C221" s="147"/>
      <c r="D221" s="147"/>
      <c r="E221" s="147"/>
      <c r="F221" s="147"/>
      <c r="G221" s="147"/>
      <c r="H221" s="147"/>
      <c r="I221" s="147"/>
      <c r="J221" s="147"/>
      <c r="K221" s="147"/>
      <c r="L221" s="147"/>
      <c r="M221" s="147"/>
      <c r="N221" s="147" t="s">
        <v>271</v>
      </c>
      <c r="O221" s="164">
        <v>5</v>
      </c>
      <c r="P221" s="169" t="s">
        <v>77</v>
      </c>
    </row>
    <row r="222" spans="1:24" ht="15.75" customHeight="1" x14ac:dyDescent="0.2">
      <c r="A222" s="145" t="s">
        <v>184</v>
      </c>
      <c r="B222" s="146" t="s">
        <v>527</v>
      </c>
      <c r="C222" s="147"/>
      <c r="D222" s="147"/>
      <c r="E222" s="147"/>
      <c r="F222" s="147"/>
      <c r="G222" s="147"/>
      <c r="H222" s="147"/>
      <c r="I222" s="147"/>
      <c r="J222" s="147"/>
      <c r="K222" s="147"/>
      <c r="L222" s="147"/>
      <c r="M222" s="147"/>
      <c r="N222" s="147" t="s">
        <v>271</v>
      </c>
      <c r="O222" s="164">
        <v>5</v>
      </c>
      <c r="P222" s="169" t="s">
        <v>77</v>
      </c>
    </row>
    <row r="223" spans="1:24" ht="15.75" customHeight="1" x14ac:dyDescent="0.2">
      <c r="A223" s="145" t="s">
        <v>185</v>
      </c>
      <c r="B223" s="146" t="s">
        <v>528</v>
      </c>
      <c r="C223" s="147"/>
      <c r="D223" s="147"/>
      <c r="E223" s="147"/>
      <c r="F223" s="147"/>
      <c r="G223" s="147"/>
      <c r="H223" s="147"/>
      <c r="I223" s="147"/>
      <c r="J223" s="147"/>
      <c r="K223" s="147"/>
      <c r="L223" s="147"/>
      <c r="M223" s="147"/>
      <c r="N223" s="147" t="s">
        <v>271</v>
      </c>
      <c r="O223" s="164">
        <v>5</v>
      </c>
      <c r="P223" s="169" t="s">
        <v>77</v>
      </c>
    </row>
    <row r="224" spans="1:24" ht="15.75" customHeight="1" x14ac:dyDescent="0.2">
      <c r="A224" s="145" t="s">
        <v>186</v>
      </c>
      <c r="B224" s="146" t="s">
        <v>529</v>
      </c>
      <c r="C224" s="147"/>
      <c r="D224" s="147"/>
      <c r="E224" s="147"/>
      <c r="F224" s="147"/>
      <c r="G224" s="147"/>
      <c r="H224" s="174" t="s">
        <v>530</v>
      </c>
      <c r="I224" s="147"/>
      <c r="J224" s="147"/>
      <c r="K224" s="147"/>
      <c r="L224" s="147"/>
      <c r="M224" s="147"/>
      <c r="N224" s="147" t="s">
        <v>271</v>
      </c>
      <c r="O224" s="164">
        <f>4+18.45+18.5+11.5+11.5</f>
        <v>63.95</v>
      </c>
      <c r="P224" s="169" t="s">
        <v>77</v>
      </c>
    </row>
    <row r="225" spans="1:16" ht="15.75" customHeight="1" x14ac:dyDescent="0.2">
      <c r="A225" s="145" t="s">
        <v>187</v>
      </c>
      <c r="B225" s="146" t="s">
        <v>532</v>
      </c>
      <c r="C225" s="147"/>
      <c r="D225" s="147"/>
      <c r="E225" s="147"/>
      <c r="F225" s="147"/>
      <c r="G225" s="174" t="s">
        <v>533</v>
      </c>
      <c r="H225" s="174"/>
      <c r="I225" s="147"/>
      <c r="J225" s="147"/>
      <c r="K225" s="147"/>
      <c r="L225" s="147"/>
      <c r="M225" s="147"/>
      <c r="N225" s="147" t="s">
        <v>271</v>
      </c>
      <c r="O225" s="164">
        <f>5*9.7</f>
        <v>48.5</v>
      </c>
      <c r="P225" s="169" t="s">
        <v>77</v>
      </c>
    </row>
    <row r="226" spans="1:16" ht="15.75" customHeight="1" x14ac:dyDescent="0.2">
      <c r="A226" s="63" t="s">
        <v>188</v>
      </c>
      <c r="B226" s="136" t="s">
        <v>535</v>
      </c>
      <c r="N226" s="166" t="s">
        <v>271</v>
      </c>
      <c r="O226" s="166">
        <f>SUM(O227:O231)</f>
        <v>401.85</v>
      </c>
      <c r="P226" s="170" t="s">
        <v>47</v>
      </c>
    </row>
    <row r="227" spans="1:16" ht="15.75" customHeight="1" x14ac:dyDescent="0.2">
      <c r="A227" s="63"/>
      <c r="B227" s="136" t="s">
        <v>537</v>
      </c>
      <c r="H227" s="148" t="s">
        <v>536</v>
      </c>
      <c r="N227" s="137" t="s">
        <v>271</v>
      </c>
      <c r="O227" s="137">
        <f>5*2*10.5</f>
        <v>105</v>
      </c>
      <c r="P227" s="148" t="s">
        <v>47</v>
      </c>
    </row>
    <row r="228" spans="1:16" ht="15.75" customHeight="1" x14ac:dyDescent="0.2">
      <c r="A228" s="63"/>
      <c r="B228" s="136" t="s">
        <v>538</v>
      </c>
      <c r="H228" s="148" t="s">
        <v>539</v>
      </c>
      <c r="N228" s="137" t="s">
        <v>271</v>
      </c>
      <c r="O228" s="137">
        <f>7*7.5</f>
        <v>52.5</v>
      </c>
      <c r="P228" s="148" t="s">
        <v>47</v>
      </c>
    </row>
    <row r="229" spans="1:16" ht="15.75" customHeight="1" x14ac:dyDescent="0.2">
      <c r="A229" s="63"/>
      <c r="B229" s="136" t="s">
        <v>540</v>
      </c>
      <c r="H229" s="148"/>
      <c r="N229" s="137" t="s">
        <v>271</v>
      </c>
      <c r="O229" s="137">
        <f>18.5*5</f>
        <v>92.5</v>
      </c>
      <c r="P229" s="148" t="s">
        <v>47</v>
      </c>
    </row>
    <row r="230" spans="1:16" ht="15.75" customHeight="1" x14ac:dyDescent="0.2">
      <c r="A230" s="63"/>
      <c r="B230" s="136" t="s">
        <v>541</v>
      </c>
      <c r="H230" s="148"/>
      <c r="N230" s="137" t="s">
        <v>271</v>
      </c>
      <c r="O230" s="137">
        <f>(4+11.5)*4</f>
        <v>62</v>
      </c>
      <c r="P230" s="148" t="s">
        <v>47</v>
      </c>
    </row>
    <row r="231" spans="1:16" ht="15.75" customHeight="1" x14ac:dyDescent="0.2">
      <c r="A231" s="149"/>
      <c r="B231" s="150" t="s">
        <v>542</v>
      </c>
      <c r="C231" s="142"/>
      <c r="D231" s="142"/>
      <c r="E231" s="142"/>
      <c r="F231" s="142"/>
      <c r="G231" s="142"/>
      <c r="H231" s="142"/>
      <c r="I231" s="142"/>
      <c r="J231" s="142"/>
      <c r="K231" s="142"/>
      <c r="L231" s="142"/>
      <c r="M231" s="142"/>
      <c r="N231" s="137" t="s">
        <v>271</v>
      </c>
      <c r="O231" s="137">
        <f>(18.45+11.5)*3</f>
        <v>89.85</v>
      </c>
      <c r="P231" s="148" t="s">
        <v>47</v>
      </c>
    </row>
    <row r="232" spans="1:16" ht="15.75" customHeight="1" x14ac:dyDescent="0.2">
      <c r="A232" s="149" t="s">
        <v>531</v>
      </c>
      <c r="B232" s="150" t="s">
        <v>534</v>
      </c>
      <c r="C232" s="142"/>
      <c r="D232" s="142"/>
      <c r="E232" s="142"/>
      <c r="F232" s="142"/>
      <c r="G232" s="172" t="s">
        <v>543</v>
      </c>
      <c r="H232" s="142"/>
      <c r="I232" s="142"/>
      <c r="J232" s="142"/>
      <c r="K232" s="142"/>
      <c r="L232" s="142"/>
      <c r="M232" s="142"/>
      <c r="N232" s="147" t="s">
        <v>271</v>
      </c>
      <c r="O232" s="164">
        <v>6</v>
      </c>
      <c r="P232" s="169" t="s">
        <v>77</v>
      </c>
    </row>
    <row r="233" spans="1:16" ht="15.75" customHeight="1" thickBot="1" x14ac:dyDescent="0.25">
      <c r="A233" s="48"/>
    </row>
    <row r="234" spans="1:16" ht="15.75" customHeight="1" thickBot="1" x14ac:dyDescent="0.25">
      <c r="A234" s="42" t="s">
        <v>65</v>
      </c>
      <c r="B234" s="140" t="s">
        <v>261</v>
      </c>
      <c r="C234" s="74"/>
      <c r="D234" s="74"/>
      <c r="E234" s="74"/>
      <c r="F234" s="74"/>
      <c r="G234" s="75"/>
      <c r="H234" s="141"/>
      <c r="I234" s="142"/>
      <c r="J234" s="142"/>
      <c r="K234" s="142"/>
      <c r="L234" s="142"/>
      <c r="M234" s="142"/>
      <c r="N234" s="142"/>
      <c r="O234" s="142"/>
      <c r="P234" s="142"/>
    </row>
    <row r="235" spans="1:16" ht="15.75" customHeight="1" x14ac:dyDescent="0.2">
      <c r="A235" s="176" t="s">
        <v>197</v>
      </c>
      <c r="B235" s="97" t="s">
        <v>544</v>
      </c>
      <c r="C235" s="167"/>
      <c r="D235" s="167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</row>
    <row r="236" spans="1:16" ht="15.75" customHeight="1" x14ac:dyDescent="0.2">
      <c r="A236" s="145" t="s">
        <v>212</v>
      </c>
      <c r="B236" s="150" t="s">
        <v>545</v>
      </c>
      <c r="C236" s="142"/>
      <c r="D236" s="142"/>
      <c r="E236" s="142"/>
      <c r="F236" s="142"/>
      <c r="G236" s="142"/>
      <c r="H236" s="142">
        <v>20</v>
      </c>
      <c r="I236" s="142" t="s">
        <v>285</v>
      </c>
      <c r="J236" s="142">
        <v>5</v>
      </c>
      <c r="K236" s="142" t="s">
        <v>285</v>
      </c>
      <c r="L236" s="142">
        <v>4.3</v>
      </c>
      <c r="M236" s="142"/>
      <c r="N236" s="142" t="s">
        <v>271</v>
      </c>
      <c r="O236" s="167">
        <f>H236+J236+L236</f>
        <v>29.3</v>
      </c>
      <c r="P236" s="168" t="s">
        <v>47</v>
      </c>
    </row>
    <row r="237" spans="1:16" ht="15.75" customHeight="1" x14ac:dyDescent="0.2">
      <c r="A237" s="149" t="s">
        <v>213</v>
      </c>
      <c r="B237" s="150" t="s">
        <v>546</v>
      </c>
      <c r="C237" s="142"/>
      <c r="D237" s="142"/>
      <c r="E237" s="142"/>
      <c r="F237" s="142"/>
      <c r="G237" s="142"/>
      <c r="H237" s="142">
        <v>4.7</v>
      </c>
      <c r="I237" s="142" t="s">
        <v>285</v>
      </c>
      <c r="J237" s="142">
        <v>2</v>
      </c>
      <c r="K237" s="142" t="s">
        <v>285</v>
      </c>
      <c r="L237" s="142"/>
      <c r="M237" s="142"/>
      <c r="N237" s="142" t="s">
        <v>271</v>
      </c>
      <c r="O237" s="167">
        <f>H237+J237+L237</f>
        <v>6.7</v>
      </c>
      <c r="P237" s="168" t="s">
        <v>47</v>
      </c>
    </row>
    <row r="238" spans="1:16" ht="15.75" customHeight="1" x14ac:dyDescent="0.2">
      <c r="A238" s="149" t="s">
        <v>214</v>
      </c>
      <c r="B238" s="150" t="s">
        <v>550</v>
      </c>
      <c r="C238" s="142"/>
      <c r="D238" s="142"/>
      <c r="E238" s="142"/>
      <c r="F238" s="142"/>
      <c r="G238" s="142"/>
      <c r="H238" s="142"/>
      <c r="I238" s="142"/>
      <c r="J238" s="142"/>
      <c r="K238" s="142"/>
      <c r="L238" s="142"/>
      <c r="M238" s="142"/>
      <c r="N238" s="142" t="s">
        <v>271</v>
      </c>
      <c r="O238" s="167">
        <v>2</v>
      </c>
      <c r="P238" s="168" t="s">
        <v>77</v>
      </c>
    </row>
    <row r="239" spans="1:16" ht="15.75" customHeight="1" x14ac:dyDescent="0.2">
      <c r="A239" s="149" t="s">
        <v>215</v>
      </c>
      <c r="B239" s="150" t="s">
        <v>549</v>
      </c>
      <c r="C239" s="142"/>
      <c r="D239" s="142"/>
      <c r="E239" s="142"/>
      <c r="F239" s="142"/>
      <c r="G239" s="142"/>
      <c r="H239" s="142"/>
      <c r="I239" s="142"/>
      <c r="J239" s="142"/>
      <c r="K239" s="142"/>
      <c r="L239" s="142"/>
      <c r="M239" s="142"/>
      <c r="N239" s="142" t="s">
        <v>271</v>
      </c>
      <c r="O239" s="167">
        <v>1</v>
      </c>
      <c r="P239" s="168" t="s">
        <v>77</v>
      </c>
    </row>
    <row r="240" spans="1:16" ht="15.75" customHeight="1" x14ac:dyDescent="0.2">
      <c r="A240" s="149" t="s">
        <v>216</v>
      </c>
      <c r="B240" s="150" t="s">
        <v>551</v>
      </c>
      <c r="C240" s="142"/>
      <c r="D240" s="142"/>
      <c r="E240" s="142"/>
      <c r="F240" s="142"/>
      <c r="G240" s="142"/>
      <c r="H240" s="191" t="s">
        <v>556</v>
      </c>
      <c r="I240" s="142"/>
      <c r="J240" s="142"/>
      <c r="K240" s="142"/>
      <c r="L240" s="142"/>
      <c r="M240" s="142"/>
      <c r="N240" s="142" t="s">
        <v>271</v>
      </c>
      <c r="O240" s="167">
        <v>4</v>
      </c>
      <c r="P240" s="168" t="s">
        <v>77</v>
      </c>
    </row>
    <row r="241" spans="1:17" ht="15.75" customHeight="1" x14ac:dyDescent="0.2">
      <c r="A241" s="149" t="s">
        <v>217</v>
      </c>
      <c r="B241" s="150" t="s">
        <v>552</v>
      </c>
      <c r="C241" s="142"/>
      <c r="D241" s="142"/>
      <c r="E241" s="142"/>
      <c r="F241" s="142"/>
      <c r="G241" s="142"/>
      <c r="H241" s="172" t="s">
        <v>553</v>
      </c>
      <c r="I241" s="142"/>
      <c r="J241" s="142"/>
      <c r="K241" s="142"/>
      <c r="L241" s="142"/>
      <c r="M241" s="142"/>
      <c r="N241" s="142" t="s">
        <v>271</v>
      </c>
      <c r="O241" s="167">
        <v>2</v>
      </c>
      <c r="P241" s="168" t="s">
        <v>77</v>
      </c>
    </row>
    <row r="242" spans="1:17" ht="15.75" customHeight="1" x14ac:dyDescent="0.2">
      <c r="A242" s="149" t="s">
        <v>547</v>
      </c>
      <c r="B242" s="150" t="s">
        <v>554</v>
      </c>
      <c r="C242" s="142"/>
      <c r="D242" s="142"/>
      <c r="E242" s="142"/>
      <c r="F242" s="142"/>
      <c r="G242" s="142"/>
      <c r="H242" s="142"/>
      <c r="I242" s="142"/>
      <c r="J242" s="142"/>
      <c r="K242" s="142"/>
      <c r="L242" s="142"/>
      <c r="M242" s="142"/>
      <c r="N242" s="142" t="s">
        <v>271</v>
      </c>
      <c r="O242" s="167">
        <v>1</v>
      </c>
      <c r="P242" s="168" t="s">
        <v>77</v>
      </c>
    </row>
    <row r="243" spans="1:17" ht="15.75" customHeight="1" x14ac:dyDescent="0.2">
      <c r="A243" s="149" t="s">
        <v>548</v>
      </c>
      <c r="B243" s="150" t="s">
        <v>555</v>
      </c>
      <c r="C243" s="142"/>
      <c r="D243" s="142"/>
      <c r="E243" s="142"/>
      <c r="F243" s="142"/>
      <c r="G243" s="142"/>
      <c r="H243" s="142"/>
      <c r="I243" s="142"/>
      <c r="J243" s="142"/>
      <c r="K243" s="142"/>
      <c r="L243" s="142"/>
      <c r="M243" s="142"/>
      <c r="N243" s="142" t="s">
        <v>271</v>
      </c>
      <c r="O243" s="167">
        <v>1</v>
      </c>
      <c r="P243" s="168" t="s">
        <v>77</v>
      </c>
    </row>
    <row r="244" spans="1:17" ht="15.75" customHeight="1" x14ac:dyDescent="0.2">
      <c r="A244" s="91" t="s">
        <v>219</v>
      </c>
      <c r="B244" s="90" t="s">
        <v>557</v>
      </c>
      <c r="C244" s="147"/>
      <c r="D244" s="147"/>
      <c r="E244" s="147"/>
      <c r="F244" s="147"/>
      <c r="G244" s="147"/>
      <c r="H244" s="147"/>
      <c r="I244" s="147"/>
      <c r="J244" s="147"/>
      <c r="K244" s="147"/>
      <c r="L244" s="147"/>
      <c r="M244" s="147"/>
      <c r="N244" s="147"/>
      <c r="O244" s="164"/>
      <c r="P244" s="169"/>
    </row>
    <row r="245" spans="1:17" ht="15.75" customHeight="1" x14ac:dyDescent="0.2">
      <c r="A245" s="149" t="s">
        <v>218</v>
      </c>
      <c r="B245" s="150" t="s">
        <v>558</v>
      </c>
      <c r="C245" s="142"/>
      <c r="D245" s="142"/>
      <c r="E245" s="142"/>
      <c r="F245" s="172" t="s">
        <v>563</v>
      </c>
      <c r="G245" s="172">
        <f>(4.2+4*2)*2</f>
        <v>24.4</v>
      </c>
      <c r="H245" s="142" t="s">
        <v>562</v>
      </c>
      <c r="I245" s="142">
        <f>(2+2.25+2.45+1.45+5*0.5)</f>
        <v>10.65</v>
      </c>
      <c r="J245" s="142" t="s">
        <v>565</v>
      </c>
      <c r="K245" s="142">
        <f>(2+4.9+2.45+1.05+2+1.9+2.35+6*0.5)</f>
        <v>19.650000000000002</v>
      </c>
      <c r="L245" s="142" t="s">
        <v>564</v>
      </c>
      <c r="M245" s="142">
        <f>(2+1+1.6)+(2.1+0.35+2*0.5)</f>
        <v>8.0500000000000007</v>
      </c>
      <c r="N245" s="142" t="s">
        <v>271</v>
      </c>
      <c r="O245" s="167">
        <f>G245+I245+K245+M245</f>
        <v>62.75</v>
      </c>
      <c r="P245" s="168" t="s">
        <v>47</v>
      </c>
    </row>
    <row r="246" spans="1:17" ht="15.75" customHeight="1" x14ac:dyDescent="0.2">
      <c r="A246" s="149" t="s">
        <v>220</v>
      </c>
      <c r="B246" s="150" t="s">
        <v>559</v>
      </c>
      <c r="C246" s="142"/>
      <c r="D246" s="142"/>
      <c r="E246" s="142"/>
      <c r="F246" s="142"/>
      <c r="G246" s="142"/>
      <c r="H246" s="172" t="s">
        <v>566</v>
      </c>
      <c r="I246" s="142"/>
      <c r="J246" s="142"/>
      <c r="K246" s="142"/>
      <c r="L246" s="142"/>
      <c r="M246" s="142"/>
      <c r="N246" s="142" t="s">
        <v>271</v>
      </c>
      <c r="O246" s="167">
        <v>14</v>
      </c>
      <c r="P246" s="168" t="s">
        <v>77</v>
      </c>
    </row>
    <row r="247" spans="1:17" ht="15.75" customHeight="1" x14ac:dyDescent="0.2">
      <c r="A247" s="149" t="s">
        <v>221</v>
      </c>
      <c r="B247" s="150" t="s">
        <v>560</v>
      </c>
      <c r="C247" s="142"/>
      <c r="D247" s="142"/>
      <c r="E247" s="142"/>
      <c r="F247" s="172" t="s">
        <v>563</v>
      </c>
      <c r="G247" s="172">
        <f>3*2</f>
        <v>6</v>
      </c>
      <c r="H247" s="142" t="s">
        <v>562</v>
      </c>
      <c r="I247" s="142">
        <f>8</f>
        <v>8</v>
      </c>
      <c r="J247" s="142" t="s">
        <v>565</v>
      </c>
      <c r="K247" s="142">
        <f>8</f>
        <v>8</v>
      </c>
      <c r="L247" s="142" t="s">
        <v>564</v>
      </c>
      <c r="M247" s="142">
        <v>3</v>
      </c>
      <c r="N247" s="142" t="s">
        <v>271</v>
      </c>
      <c r="O247" s="167">
        <f>G247+I247+K247+M247</f>
        <v>25</v>
      </c>
      <c r="P247" s="168" t="s">
        <v>77</v>
      </c>
    </row>
    <row r="248" spans="1:17" ht="15.75" customHeight="1" x14ac:dyDescent="0.2">
      <c r="A248" s="149" t="s">
        <v>222</v>
      </c>
      <c r="B248" s="150" t="s">
        <v>561</v>
      </c>
      <c r="C248" s="142"/>
      <c r="D248" s="142"/>
      <c r="E248" s="142"/>
      <c r="F248" s="172" t="s">
        <v>563</v>
      </c>
      <c r="G248" s="172">
        <f>3*2</f>
        <v>6</v>
      </c>
      <c r="H248" s="142" t="s">
        <v>562</v>
      </c>
      <c r="I248" s="142">
        <v>6</v>
      </c>
      <c r="J248" s="142" t="s">
        <v>565</v>
      </c>
      <c r="K248" s="142">
        <v>5</v>
      </c>
      <c r="L248" s="142" t="s">
        <v>564</v>
      </c>
      <c r="M248" s="142">
        <v>1</v>
      </c>
      <c r="N248" s="142" t="s">
        <v>271</v>
      </c>
      <c r="O248" s="167">
        <f>G248+I248+K248+M248</f>
        <v>18</v>
      </c>
      <c r="P248" s="168" t="s">
        <v>77</v>
      </c>
    </row>
    <row r="249" spans="1:17" ht="15.75" customHeight="1" x14ac:dyDescent="0.2">
      <c r="A249" s="149" t="s">
        <v>223</v>
      </c>
      <c r="B249" s="197" t="s">
        <v>567</v>
      </c>
      <c r="C249" s="142"/>
      <c r="D249" s="142"/>
      <c r="E249" s="142"/>
      <c r="F249" s="172" t="s">
        <v>563</v>
      </c>
      <c r="G249" s="172">
        <f>4*2</f>
        <v>8</v>
      </c>
      <c r="H249" s="142" t="s">
        <v>562</v>
      </c>
      <c r="I249" s="142">
        <v>9</v>
      </c>
      <c r="J249" s="142" t="s">
        <v>565</v>
      </c>
      <c r="K249" s="142">
        <v>6</v>
      </c>
      <c r="L249" s="142" t="s">
        <v>564</v>
      </c>
      <c r="M249" s="142">
        <v>4</v>
      </c>
      <c r="N249" s="142" t="s">
        <v>271</v>
      </c>
      <c r="O249" s="167">
        <f>G249+I249+K249+M249</f>
        <v>27</v>
      </c>
      <c r="P249" s="168" t="s">
        <v>77</v>
      </c>
    </row>
    <row r="250" spans="1:17" ht="15.75" customHeight="1" x14ac:dyDescent="0.2">
      <c r="A250" s="91" t="s">
        <v>225</v>
      </c>
      <c r="B250" s="90" t="s">
        <v>568</v>
      </c>
      <c r="C250" s="147"/>
      <c r="D250" s="147"/>
      <c r="E250" s="147"/>
      <c r="F250" s="147"/>
      <c r="G250" s="147"/>
      <c r="H250" s="147"/>
      <c r="I250" s="147"/>
      <c r="J250" s="147"/>
      <c r="K250" s="147"/>
      <c r="L250" s="147"/>
      <c r="M250" s="147"/>
      <c r="N250" s="147"/>
      <c r="O250" s="164"/>
      <c r="P250" s="169"/>
    </row>
    <row r="251" spans="1:17" ht="15.75" customHeight="1" x14ac:dyDescent="0.2">
      <c r="A251" s="149" t="s">
        <v>226</v>
      </c>
      <c r="B251" s="150" t="s">
        <v>569</v>
      </c>
      <c r="C251" s="142"/>
      <c r="D251" s="142"/>
      <c r="E251" s="142"/>
      <c r="F251" s="142"/>
      <c r="G251" s="142"/>
      <c r="H251" s="142"/>
      <c r="I251" s="142"/>
      <c r="J251" s="142"/>
      <c r="K251" s="142"/>
      <c r="L251" s="142"/>
      <c r="M251" s="142"/>
      <c r="N251" s="142" t="s">
        <v>271</v>
      </c>
      <c r="O251" s="167">
        <v>4</v>
      </c>
      <c r="P251" s="168" t="s">
        <v>77</v>
      </c>
    </row>
    <row r="252" spans="1:17" ht="15.75" customHeight="1" x14ac:dyDescent="0.2">
      <c r="A252" s="149" t="s">
        <v>227</v>
      </c>
      <c r="B252" s="150" t="s">
        <v>570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 t="s">
        <v>271</v>
      </c>
      <c r="O252" s="167">
        <v>6</v>
      </c>
      <c r="P252" s="168" t="s">
        <v>77</v>
      </c>
    </row>
    <row r="253" spans="1:17" ht="15.75" customHeight="1" x14ac:dyDescent="0.2">
      <c r="A253" s="149" t="s">
        <v>229</v>
      </c>
      <c r="B253" s="150" t="s">
        <v>571</v>
      </c>
      <c r="C253" s="142"/>
      <c r="D253" s="142"/>
      <c r="E253" s="142"/>
      <c r="F253" s="142"/>
      <c r="G253" s="142"/>
      <c r="H253" s="172" t="s">
        <v>583</v>
      </c>
      <c r="I253" s="142"/>
      <c r="J253" s="142"/>
      <c r="K253" s="142"/>
      <c r="L253" s="142"/>
      <c r="M253" s="142"/>
      <c r="N253" s="142" t="s">
        <v>271</v>
      </c>
      <c r="O253" s="167">
        <f>2*2.6*0.55</f>
        <v>2.8600000000000003</v>
      </c>
      <c r="P253" s="168" t="s">
        <v>140</v>
      </c>
    </row>
    <row r="254" spans="1:17" ht="15.75" customHeight="1" thickBot="1" x14ac:dyDescent="0.25">
      <c r="A254" s="48"/>
      <c r="N254" s="160"/>
      <c r="O254" s="173"/>
      <c r="P254" s="175"/>
    </row>
    <row r="255" spans="1:17" ht="15.75" customHeight="1" thickBot="1" x14ac:dyDescent="0.25">
      <c r="A255" s="42" t="s">
        <v>67</v>
      </c>
      <c r="B255" s="140" t="s">
        <v>262</v>
      </c>
      <c r="C255" s="74"/>
      <c r="D255" s="74"/>
      <c r="E255" s="74"/>
      <c r="F255" s="74"/>
      <c r="G255" s="75"/>
      <c r="H255" s="141"/>
      <c r="I255" s="142"/>
      <c r="J255" s="142"/>
      <c r="K255" s="142"/>
      <c r="L255" s="142"/>
      <c r="M255" s="142"/>
      <c r="N255" s="142"/>
      <c r="O255" s="142"/>
      <c r="P255" s="142"/>
      <c r="Q255" s="160"/>
    </row>
    <row r="256" spans="1:17" ht="15.75" customHeight="1" x14ac:dyDescent="0.2">
      <c r="A256" s="176" t="s">
        <v>230</v>
      </c>
      <c r="B256" s="97" t="s">
        <v>585</v>
      </c>
      <c r="C256" s="167"/>
      <c r="D256" s="167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</row>
    <row r="257" spans="1:16" ht="15.75" customHeight="1" x14ac:dyDescent="0.2">
      <c r="A257" s="145" t="s">
        <v>232</v>
      </c>
      <c r="B257" s="146" t="s">
        <v>586</v>
      </c>
      <c r="C257" s="164"/>
      <c r="D257" s="164"/>
      <c r="E257" s="164"/>
      <c r="F257" s="164"/>
      <c r="G257" s="193" t="s">
        <v>614</v>
      </c>
      <c r="H257" s="164"/>
      <c r="I257" s="164"/>
      <c r="J257" s="164"/>
      <c r="K257" s="164"/>
      <c r="L257" s="164"/>
      <c r="M257" s="164"/>
      <c r="N257" s="164"/>
      <c r="O257" s="164">
        <f>(2*0.5)+1.9+1.9+0.25+0.25+(7*0.5)+1.4+0.7+1+1.3+0.75+0.4+0.3</f>
        <v>14.650000000000002</v>
      </c>
      <c r="P257" s="169" t="s">
        <v>47</v>
      </c>
    </row>
    <row r="258" spans="1:16" ht="15.75" customHeight="1" x14ac:dyDescent="0.2">
      <c r="A258" s="145" t="s">
        <v>233</v>
      </c>
      <c r="B258" s="146" t="s">
        <v>587</v>
      </c>
      <c r="C258" s="164"/>
      <c r="D258" s="164"/>
      <c r="E258" s="164"/>
      <c r="F258" s="164"/>
      <c r="G258" s="164"/>
      <c r="H258" s="164"/>
      <c r="I258" s="164"/>
      <c r="J258" s="164"/>
      <c r="K258" s="164"/>
      <c r="L258" s="164"/>
      <c r="M258" s="164"/>
      <c r="N258" s="164"/>
      <c r="O258" s="164">
        <v>26</v>
      </c>
      <c r="P258" s="169" t="s">
        <v>77</v>
      </c>
    </row>
    <row r="259" spans="1:16" ht="15.75" customHeight="1" x14ac:dyDescent="0.2">
      <c r="A259" s="145" t="s">
        <v>234</v>
      </c>
      <c r="B259" s="146" t="s">
        <v>616</v>
      </c>
      <c r="C259" s="164"/>
      <c r="D259" s="164"/>
      <c r="E259" s="164"/>
      <c r="F259" s="164"/>
      <c r="G259" s="164"/>
      <c r="H259" s="164"/>
      <c r="I259" s="164"/>
      <c r="J259" s="164"/>
      <c r="K259" s="164"/>
      <c r="L259" s="164"/>
      <c r="M259" s="164"/>
      <c r="N259" s="164"/>
      <c r="O259" s="164">
        <v>6</v>
      </c>
      <c r="P259" s="169" t="s">
        <v>77</v>
      </c>
    </row>
    <row r="260" spans="1:16" ht="15.75" customHeight="1" x14ac:dyDescent="0.2">
      <c r="A260" s="145" t="s">
        <v>235</v>
      </c>
      <c r="B260" s="190" t="s">
        <v>617</v>
      </c>
      <c r="C260" s="164"/>
      <c r="D260" s="164"/>
      <c r="E260" s="164"/>
      <c r="F260" s="164"/>
      <c r="G260" s="164"/>
      <c r="H260" s="164"/>
      <c r="I260" s="164"/>
      <c r="J260" s="164"/>
      <c r="K260" s="164"/>
      <c r="L260" s="164"/>
      <c r="M260" s="164"/>
      <c r="N260" s="164"/>
      <c r="O260" s="164">
        <v>2</v>
      </c>
      <c r="P260" s="169" t="s">
        <v>77</v>
      </c>
    </row>
    <row r="261" spans="1:16" ht="15.75" customHeight="1" x14ac:dyDescent="0.2">
      <c r="A261" s="145" t="s">
        <v>236</v>
      </c>
      <c r="B261" s="146" t="s">
        <v>588</v>
      </c>
      <c r="C261" s="164"/>
      <c r="D261" s="164"/>
      <c r="E261" s="164"/>
      <c r="F261" s="164"/>
      <c r="G261" s="174" t="s">
        <v>620</v>
      </c>
      <c r="H261" s="164"/>
      <c r="I261" s="164"/>
      <c r="J261" s="164"/>
      <c r="K261" s="164"/>
      <c r="L261" s="164"/>
      <c r="M261" s="164"/>
      <c r="N261" s="164"/>
      <c r="O261" s="164">
        <f>0.7+0.7+2.3+8+2.7+1.6+3.4+4.7+2.7+0.7+1.7+1.2+0.4</f>
        <v>30.799999999999994</v>
      </c>
      <c r="P261" s="169" t="s">
        <v>47</v>
      </c>
    </row>
    <row r="262" spans="1:16" ht="15.75" customHeight="1" x14ac:dyDescent="0.2">
      <c r="A262" s="145" t="s">
        <v>237</v>
      </c>
      <c r="B262" s="146" t="s">
        <v>589</v>
      </c>
      <c r="C262" s="164"/>
      <c r="D262" s="164"/>
      <c r="E262" s="164"/>
      <c r="F262" s="164"/>
      <c r="G262" s="164"/>
      <c r="H262" s="164"/>
      <c r="I262" s="164"/>
      <c r="J262" s="164"/>
      <c r="K262" s="164"/>
      <c r="L262" s="164"/>
      <c r="M262" s="164"/>
      <c r="N262" s="164"/>
      <c r="O262" s="164">
        <v>2</v>
      </c>
      <c r="P262" s="169" t="s">
        <v>77</v>
      </c>
    </row>
    <row r="263" spans="1:16" ht="15.75" customHeight="1" x14ac:dyDescent="0.2">
      <c r="A263" s="145" t="s">
        <v>238</v>
      </c>
      <c r="B263" s="159" t="s">
        <v>619</v>
      </c>
      <c r="C263" s="173"/>
      <c r="D263" s="173"/>
      <c r="E263" s="173"/>
      <c r="F263" s="173"/>
      <c r="G263" s="173"/>
      <c r="H263" s="173"/>
      <c r="I263" s="173"/>
      <c r="J263" s="173"/>
      <c r="K263" s="173"/>
      <c r="L263" s="173"/>
      <c r="M263" s="173"/>
      <c r="N263" s="173"/>
      <c r="O263" s="173">
        <v>4</v>
      </c>
      <c r="P263" s="169" t="s">
        <v>77</v>
      </c>
    </row>
    <row r="264" spans="1:16" ht="15.75" customHeight="1" x14ac:dyDescent="0.2">
      <c r="A264" s="145" t="s">
        <v>239</v>
      </c>
      <c r="B264" s="190" t="s">
        <v>617</v>
      </c>
      <c r="C264" s="164"/>
      <c r="D264" s="164"/>
      <c r="E264" s="164"/>
      <c r="F264" s="164"/>
      <c r="G264" s="164"/>
      <c r="H264" s="164"/>
      <c r="I264" s="164"/>
      <c r="J264" s="164"/>
      <c r="K264" s="164"/>
      <c r="L264" s="164"/>
      <c r="M264" s="164"/>
      <c r="N264" s="164"/>
      <c r="O264" s="164">
        <v>3</v>
      </c>
      <c r="P264" s="169" t="s">
        <v>77</v>
      </c>
    </row>
    <row r="265" spans="1:16" ht="15.75" customHeight="1" x14ac:dyDescent="0.2">
      <c r="A265" s="149" t="s">
        <v>240</v>
      </c>
      <c r="B265" s="150" t="s">
        <v>590</v>
      </c>
      <c r="C265" s="167"/>
      <c r="D265" s="167"/>
      <c r="E265" s="167"/>
      <c r="F265" s="167"/>
      <c r="G265" s="193" t="s">
        <v>621</v>
      </c>
      <c r="H265" s="167"/>
      <c r="I265" s="167"/>
      <c r="J265" s="167"/>
      <c r="K265" s="167"/>
      <c r="L265" s="167"/>
      <c r="M265" s="167"/>
      <c r="N265" s="167"/>
      <c r="O265" s="164">
        <f>(6.2+1.15+(2*0.4)+8.1+6.1+6.2+0.5+(5*0.4)+6.1+0.9+4.35+(3*0.4)+4.7+14)</f>
        <v>62.300000000000004</v>
      </c>
      <c r="P265" s="169" t="s">
        <v>47</v>
      </c>
    </row>
    <row r="266" spans="1:16" ht="15.75" customHeight="1" x14ac:dyDescent="0.2">
      <c r="A266" s="149" t="s">
        <v>241</v>
      </c>
      <c r="B266" s="150" t="s">
        <v>591</v>
      </c>
      <c r="C266" s="167"/>
      <c r="D266" s="167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4">
        <v>9</v>
      </c>
      <c r="P266" s="169" t="s">
        <v>77</v>
      </c>
    </row>
    <row r="267" spans="1:16" ht="15.75" customHeight="1" x14ac:dyDescent="0.2">
      <c r="A267" s="149" t="s">
        <v>615</v>
      </c>
      <c r="B267" s="153" t="s">
        <v>592</v>
      </c>
      <c r="C267" s="142"/>
      <c r="D267" s="142"/>
      <c r="E267" s="142"/>
      <c r="F267" s="142"/>
      <c r="G267" s="142"/>
      <c r="H267" s="142"/>
      <c r="I267" s="142"/>
      <c r="J267" s="142"/>
      <c r="K267" s="142"/>
      <c r="L267" s="142"/>
      <c r="M267" s="142"/>
      <c r="N267" s="142"/>
      <c r="O267" s="173">
        <v>3</v>
      </c>
      <c r="P267" s="169" t="s">
        <v>77</v>
      </c>
    </row>
    <row r="268" spans="1:16" ht="15.75" customHeight="1" x14ac:dyDescent="0.2">
      <c r="A268" s="153" t="s">
        <v>618</v>
      </c>
      <c r="B268" s="153" t="s">
        <v>593</v>
      </c>
      <c r="C268" s="142"/>
      <c r="D268" s="142"/>
      <c r="E268" s="142"/>
      <c r="F268" s="142"/>
      <c r="G268" s="142"/>
      <c r="H268" s="142"/>
      <c r="I268" s="142"/>
      <c r="J268" s="142"/>
      <c r="K268" s="142"/>
      <c r="L268" s="142"/>
      <c r="M268" s="142"/>
      <c r="N268" s="142"/>
      <c r="O268" s="164">
        <v>2</v>
      </c>
      <c r="P268" s="169" t="s">
        <v>77</v>
      </c>
    </row>
    <row r="269" spans="1:16" ht="15.75" customHeight="1" x14ac:dyDescent="0.2">
      <c r="A269" s="176" t="s">
        <v>231</v>
      </c>
      <c r="B269" s="97" t="s">
        <v>568</v>
      </c>
      <c r="C269" s="167"/>
      <c r="D269" s="167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</row>
    <row r="270" spans="1:16" ht="15.75" customHeight="1" x14ac:dyDescent="0.2">
      <c r="A270" s="145" t="s">
        <v>242</v>
      </c>
      <c r="B270" s="190" t="s">
        <v>594</v>
      </c>
      <c r="C270" s="147"/>
      <c r="D270" s="147"/>
      <c r="E270" s="147"/>
      <c r="F270" s="147"/>
      <c r="G270" s="147"/>
      <c r="H270" s="147"/>
      <c r="I270" s="147"/>
      <c r="J270" s="147"/>
      <c r="K270" s="147"/>
      <c r="L270" s="147"/>
      <c r="M270" s="147"/>
      <c r="N270" s="147"/>
      <c r="O270" s="164">
        <v>7</v>
      </c>
      <c r="P270" s="169" t="s">
        <v>77</v>
      </c>
    </row>
    <row r="271" spans="1:16" ht="15.75" customHeight="1" x14ac:dyDescent="0.2">
      <c r="A271" s="145" t="s">
        <v>243</v>
      </c>
      <c r="B271" s="190" t="s">
        <v>595</v>
      </c>
      <c r="C271" s="147"/>
      <c r="D271" s="147"/>
      <c r="E271" s="147"/>
      <c r="F271" s="147"/>
      <c r="G271" s="147"/>
      <c r="H271" s="147"/>
      <c r="I271" s="147"/>
      <c r="J271" s="147"/>
      <c r="K271" s="147"/>
      <c r="L271" s="147"/>
      <c r="M271" s="147"/>
      <c r="N271" s="147"/>
      <c r="O271" s="164">
        <v>7</v>
      </c>
      <c r="P271" s="169" t="s">
        <v>77</v>
      </c>
    </row>
    <row r="272" spans="1:16" ht="15.75" customHeight="1" x14ac:dyDescent="0.2">
      <c r="A272" s="176" t="s">
        <v>244</v>
      </c>
      <c r="B272" s="97" t="s">
        <v>596</v>
      </c>
      <c r="C272" s="167"/>
      <c r="D272" s="167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</row>
    <row r="273" spans="1:16" ht="15.75" customHeight="1" x14ac:dyDescent="0.2">
      <c r="A273" s="145" t="s">
        <v>242</v>
      </c>
      <c r="B273" s="190" t="s">
        <v>597</v>
      </c>
      <c r="C273" s="147"/>
      <c r="D273" s="147"/>
      <c r="E273" s="147"/>
      <c r="F273" s="147"/>
      <c r="G273" s="147"/>
      <c r="H273" s="147"/>
      <c r="I273" s="147"/>
      <c r="J273" s="147"/>
      <c r="K273" s="147"/>
      <c r="L273" s="147"/>
      <c r="M273" s="147"/>
      <c r="N273" s="147"/>
      <c r="O273" s="164">
        <v>1</v>
      </c>
      <c r="P273" s="169" t="s">
        <v>77</v>
      </c>
    </row>
    <row r="274" spans="1:16" ht="15.75" customHeight="1" x14ac:dyDescent="0.2">
      <c r="A274" s="145" t="s">
        <v>243</v>
      </c>
      <c r="B274" s="190" t="s">
        <v>598</v>
      </c>
      <c r="C274" s="147"/>
      <c r="D274" s="147"/>
      <c r="E274" s="147"/>
      <c r="F274" s="147"/>
      <c r="G274" s="147"/>
      <c r="H274" s="147"/>
      <c r="I274" s="147"/>
      <c r="J274" s="147"/>
      <c r="K274" s="147"/>
      <c r="L274" s="147"/>
      <c r="M274" s="147"/>
      <c r="N274" s="147"/>
      <c r="O274" s="164">
        <v>1</v>
      </c>
      <c r="P274" s="169" t="s">
        <v>77</v>
      </c>
    </row>
    <row r="275" spans="1:16" ht="15.75" customHeight="1" x14ac:dyDescent="0.2">
      <c r="A275" s="145" t="s">
        <v>726</v>
      </c>
      <c r="B275" s="190" t="s">
        <v>727</v>
      </c>
      <c r="C275" s="147"/>
      <c r="D275" s="147"/>
      <c r="E275" s="147"/>
      <c r="F275" s="147"/>
      <c r="G275" s="147"/>
      <c r="H275" s="147"/>
      <c r="I275" s="147"/>
      <c r="J275" s="147"/>
      <c r="K275" s="147"/>
      <c r="L275" s="147"/>
      <c r="M275" s="147"/>
      <c r="N275" s="147"/>
      <c r="O275" s="164">
        <v>1</v>
      </c>
      <c r="P275" s="169" t="s">
        <v>77</v>
      </c>
    </row>
    <row r="276" spans="1:16" ht="15.75" customHeight="1" thickBot="1" x14ac:dyDescent="0.25">
      <c r="A276" s="48"/>
    </row>
    <row r="277" spans="1:16" ht="15.75" customHeight="1" thickBot="1" x14ac:dyDescent="0.25">
      <c r="A277" s="42" t="s">
        <v>68</v>
      </c>
      <c r="B277" s="140" t="s">
        <v>599</v>
      </c>
      <c r="C277" s="74"/>
      <c r="D277" s="74"/>
      <c r="E277" s="74"/>
      <c r="F277" s="74"/>
      <c r="G277" s="75"/>
      <c r="H277" s="141"/>
      <c r="I277" s="142"/>
      <c r="J277" s="142"/>
      <c r="K277" s="142"/>
      <c r="L277" s="142"/>
      <c r="M277" s="142"/>
      <c r="N277" s="142"/>
      <c r="O277" s="142"/>
      <c r="P277" s="142"/>
    </row>
    <row r="278" spans="1:16" ht="15.75" customHeight="1" x14ac:dyDescent="0.2">
      <c r="A278" s="111" t="s">
        <v>69</v>
      </c>
      <c r="B278" s="198" t="s">
        <v>600</v>
      </c>
      <c r="C278" s="198"/>
      <c r="D278" s="198"/>
      <c r="E278" s="198"/>
      <c r="F278" s="198"/>
      <c r="G278" s="198"/>
      <c r="H278" s="199"/>
      <c r="I278" s="142"/>
      <c r="J278" s="142"/>
      <c r="K278" s="142"/>
      <c r="L278" s="142"/>
      <c r="M278" s="142"/>
      <c r="N278" s="142"/>
      <c r="O278" s="142"/>
      <c r="P278" s="142"/>
    </row>
    <row r="279" spans="1:16" ht="15.75" customHeight="1" x14ac:dyDescent="0.2">
      <c r="A279" s="108" t="s">
        <v>115</v>
      </c>
      <c r="B279" s="200" t="s">
        <v>602</v>
      </c>
      <c r="C279" s="201"/>
      <c r="D279" s="201"/>
      <c r="E279" s="201"/>
      <c r="F279" s="201"/>
      <c r="G279" s="201"/>
      <c r="H279" s="202"/>
      <c r="I279" s="147"/>
      <c r="J279" s="147"/>
      <c r="K279" s="147"/>
      <c r="L279" s="147"/>
      <c r="M279" s="147"/>
      <c r="N279" s="147" t="s">
        <v>271</v>
      </c>
      <c r="O279" s="164">
        <v>8</v>
      </c>
      <c r="P279" s="169" t="s">
        <v>77</v>
      </c>
    </row>
    <row r="280" spans="1:16" ht="15.75" customHeight="1" x14ac:dyDescent="0.2">
      <c r="A280" s="108" t="s">
        <v>116</v>
      </c>
      <c r="B280" s="200" t="s">
        <v>607</v>
      </c>
      <c r="C280" s="201"/>
      <c r="D280" s="201"/>
      <c r="E280" s="201"/>
      <c r="F280" s="201"/>
      <c r="G280" s="201"/>
      <c r="H280" s="202"/>
      <c r="I280" s="147"/>
      <c r="J280" s="147"/>
      <c r="K280" s="147"/>
      <c r="L280" s="147"/>
      <c r="M280" s="147"/>
      <c r="N280" s="147" t="s">
        <v>271</v>
      </c>
      <c r="O280" s="164">
        <v>2</v>
      </c>
      <c r="P280" s="169" t="s">
        <v>77</v>
      </c>
    </row>
    <row r="281" spans="1:16" ht="15.75" customHeight="1" x14ac:dyDescent="0.2">
      <c r="A281" s="108" t="s">
        <v>117</v>
      </c>
      <c r="B281" s="200" t="s">
        <v>603</v>
      </c>
      <c r="C281" s="201"/>
      <c r="D281" s="201"/>
      <c r="E281" s="201"/>
      <c r="F281" s="201"/>
      <c r="G281" s="201"/>
      <c r="H281" s="202"/>
      <c r="I281" s="147"/>
      <c r="J281" s="147"/>
      <c r="K281" s="147"/>
      <c r="L281" s="147"/>
      <c r="M281" s="147"/>
      <c r="N281" s="147" t="s">
        <v>271</v>
      </c>
      <c r="O281" s="164">
        <v>5</v>
      </c>
      <c r="P281" s="169" t="s">
        <v>77</v>
      </c>
    </row>
    <row r="282" spans="1:16" ht="15.75" customHeight="1" x14ac:dyDescent="0.2">
      <c r="A282" s="108" t="s">
        <v>118</v>
      </c>
      <c r="B282" s="200" t="s">
        <v>604</v>
      </c>
      <c r="C282" s="200"/>
      <c r="D282" s="200"/>
      <c r="E282" s="201"/>
      <c r="F282" s="201"/>
      <c r="G282" s="201"/>
      <c r="H282" s="203" t="s">
        <v>622</v>
      </c>
      <c r="I282" s="147"/>
      <c r="J282" s="147"/>
      <c r="K282" s="147"/>
      <c r="L282" s="147"/>
      <c r="M282" s="147"/>
      <c r="N282" s="147" t="s">
        <v>271</v>
      </c>
      <c r="O282" s="164">
        <v>4</v>
      </c>
      <c r="P282" s="169" t="s">
        <v>77</v>
      </c>
    </row>
    <row r="283" spans="1:16" ht="15.75" customHeight="1" x14ac:dyDescent="0.2">
      <c r="A283" s="108" t="s">
        <v>120</v>
      </c>
      <c r="B283" s="200" t="s">
        <v>605</v>
      </c>
      <c r="C283" s="200"/>
      <c r="D283" s="200"/>
      <c r="E283" s="201"/>
      <c r="F283" s="201"/>
      <c r="G283" s="201"/>
      <c r="H283" s="203" t="s">
        <v>623</v>
      </c>
      <c r="I283" s="147"/>
      <c r="J283" s="147"/>
      <c r="K283" s="147"/>
      <c r="L283" s="147"/>
      <c r="M283" s="147"/>
      <c r="N283" s="147" t="s">
        <v>271</v>
      </c>
      <c r="O283" s="164">
        <v>2</v>
      </c>
      <c r="P283" s="169" t="s">
        <v>77</v>
      </c>
    </row>
    <row r="284" spans="1:16" ht="15.75" customHeight="1" x14ac:dyDescent="0.2">
      <c r="A284" s="190" t="s">
        <v>119</v>
      </c>
      <c r="B284" s="146" t="s">
        <v>606</v>
      </c>
      <c r="C284" s="200"/>
      <c r="D284" s="200"/>
      <c r="E284" s="201"/>
      <c r="F284" s="201"/>
      <c r="G284" s="201"/>
      <c r="H284" s="202"/>
      <c r="I284" s="147"/>
      <c r="J284" s="147"/>
      <c r="K284" s="147"/>
      <c r="L284" s="147"/>
      <c r="M284" s="147"/>
      <c r="N284" s="147" t="s">
        <v>271</v>
      </c>
      <c r="O284" s="164">
        <v>2</v>
      </c>
      <c r="P284" s="169" t="s">
        <v>77</v>
      </c>
    </row>
    <row r="285" spans="1:16" ht="15.75" customHeight="1" x14ac:dyDescent="0.2">
      <c r="A285" s="190" t="s">
        <v>121</v>
      </c>
      <c r="B285" s="146" t="s">
        <v>608</v>
      </c>
      <c r="C285" s="200"/>
      <c r="D285" s="200"/>
      <c r="E285" s="201"/>
      <c r="F285" s="201"/>
      <c r="G285" s="201"/>
      <c r="H285" s="202"/>
      <c r="I285" s="147"/>
      <c r="J285" s="147"/>
      <c r="K285" s="147"/>
      <c r="L285" s="147"/>
      <c r="M285" s="147"/>
      <c r="N285" s="147" t="s">
        <v>271</v>
      </c>
      <c r="O285" s="164">
        <v>10</v>
      </c>
      <c r="P285" s="169" t="s">
        <v>77</v>
      </c>
    </row>
    <row r="286" spans="1:16" ht="15.75" customHeight="1" x14ac:dyDescent="0.2">
      <c r="A286" s="108" t="s">
        <v>122</v>
      </c>
      <c r="B286" s="200" t="s">
        <v>609</v>
      </c>
      <c r="C286" s="200"/>
      <c r="D286" s="200"/>
      <c r="E286" s="201"/>
      <c r="F286" s="201"/>
      <c r="G286" s="201"/>
      <c r="H286" s="202"/>
      <c r="I286" s="147"/>
      <c r="J286" s="147"/>
      <c r="K286" s="147"/>
      <c r="L286" s="147"/>
      <c r="M286" s="147"/>
      <c r="N286" s="147" t="s">
        <v>271</v>
      </c>
      <c r="O286" s="164">
        <v>6</v>
      </c>
      <c r="P286" s="169" t="s">
        <v>77</v>
      </c>
    </row>
    <row r="287" spans="1:16" ht="15.75" customHeight="1" x14ac:dyDescent="0.2">
      <c r="A287" s="111" t="s">
        <v>228</v>
      </c>
      <c r="B287" s="198" t="s">
        <v>601</v>
      </c>
      <c r="C287" s="198"/>
      <c r="D287" s="198"/>
      <c r="E287" s="198"/>
      <c r="F287" s="198"/>
      <c r="G287" s="198"/>
      <c r="H287" s="199"/>
      <c r="I287" s="142"/>
      <c r="J287" s="142"/>
      <c r="K287" s="142"/>
      <c r="L287" s="142"/>
      <c r="M287" s="142"/>
      <c r="N287" s="142"/>
      <c r="O287" s="142"/>
      <c r="P287" s="142"/>
    </row>
    <row r="288" spans="1:16" ht="15.75" customHeight="1" x14ac:dyDescent="0.2">
      <c r="A288" s="108" t="s">
        <v>123</v>
      </c>
      <c r="B288" s="200" t="s">
        <v>610</v>
      </c>
      <c r="C288" s="201"/>
      <c r="D288" s="201"/>
      <c r="E288" s="201"/>
      <c r="F288" s="201"/>
      <c r="G288" s="201"/>
      <c r="H288" s="203" t="s">
        <v>624</v>
      </c>
      <c r="I288" s="147"/>
      <c r="J288" s="147"/>
      <c r="K288" s="147"/>
      <c r="L288" s="147"/>
      <c r="M288" s="147"/>
      <c r="N288" s="147" t="s">
        <v>271</v>
      </c>
      <c r="O288" s="164">
        <v>8</v>
      </c>
      <c r="P288" s="206" t="s">
        <v>77</v>
      </c>
    </row>
    <row r="289" spans="1:16" ht="15.75" customHeight="1" x14ac:dyDescent="0.2">
      <c r="A289" s="143" t="s">
        <v>124</v>
      </c>
      <c r="B289" s="204" t="s">
        <v>611</v>
      </c>
      <c r="C289" s="198"/>
      <c r="D289" s="198"/>
      <c r="E289" s="198"/>
      <c r="F289" s="198"/>
      <c r="G289" s="198"/>
      <c r="H289" s="203" t="s">
        <v>624</v>
      </c>
      <c r="I289" s="142"/>
      <c r="J289" s="142"/>
      <c r="K289" s="142"/>
      <c r="L289" s="142"/>
      <c r="M289" s="142"/>
      <c r="N289" s="142" t="s">
        <v>271</v>
      </c>
      <c r="O289" s="164">
        <v>8</v>
      </c>
      <c r="P289" s="206" t="s">
        <v>77</v>
      </c>
    </row>
    <row r="290" spans="1:16" ht="15.75" customHeight="1" x14ac:dyDescent="0.2">
      <c r="A290" s="143" t="s">
        <v>125</v>
      </c>
      <c r="B290" s="204" t="s">
        <v>612</v>
      </c>
      <c r="C290" s="142"/>
      <c r="D290" s="142"/>
      <c r="E290" s="142"/>
      <c r="F290" s="142"/>
      <c r="G290" s="142"/>
      <c r="H290" s="172" t="s">
        <v>625</v>
      </c>
      <c r="I290" s="142"/>
      <c r="J290" s="142"/>
      <c r="K290" s="142"/>
      <c r="L290" s="142"/>
      <c r="M290" s="142"/>
      <c r="N290" s="142" t="s">
        <v>271</v>
      </c>
      <c r="O290" s="164">
        <v>18</v>
      </c>
      <c r="P290" s="206" t="s">
        <v>77</v>
      </c>
    </row>
    <row r="291" spans="1:16" ht="15.75" customHeight="1" x14ac:dyDescent="0.2">
      <c r="A291" s="143" t="s">
        <v>126</v>
      </c>
      <c r="B291" s="204" t="s">
        <v>613</v>
      </c>
      <c r="C291" s="142"/>
      <c r="D291" s="142"/>
      <c r="E291" s="142"/>
      <c r="F291" s="142"/>
      <c r="G291" s="142"/>
      <c r="H291" s="142"/>
      <c r="I291" s="142"/>
      <c r="J291" s="142"/>
      <c r="K291" s="142"/>
      <c r="L291" s="142"/>
      <c r="M291" s="142"/>
      <c r="N291" s="142" t="s">
        <v>271</v>
      </c>
      <c r="O291" s="164">
        <v>4</v>
      </c>
      <c r="P291" s="206" t="s">
        <v>77</v>
      </c>
    </row>
    <row r="292" spans="1:16" ht="15.75" customHeight="1" x14ac:dyDescent="0.2">
      <c r="A292" s="143" t="s">
        <v>246</v>
      </c>
      <c r="B292" s="204" t="s">
        <v>626</v>
      </c>
      <c r="C292" s="142"/>
      <c r="D292" s="142"/>
      <c r="E292" s="142"/>
      <c r="F292" s="142"/>
      <c r="G292" s="142"/>
      <c r="H292" s="172" t="s">
        <v>627</v>
      </c>
      <c r="I292" s="142"/>
      <c r="J292" s="142"/>
      <c r="K292" s="142"/>
      <c r="L292" s="142"/>
      <c r="M292" s="142"/>
      <c r="N292" s="142" t="s">
        <v>271</v>
      </c>
      <c r="O292" s="164">
        <v>4</v>
      </c>
      <c r="P292" s="206" t="s">
        <v>77</v>
      </c>
    </row>
    <row r="293" spans="1:16" ht="15.75" customHeight="1" x14ac:dyDescent="0.2">
      <c r="A293" s="108" t="s">
        <v>224</v>
      </c>
      <c r="B293" s="200" t="s">
        <v>628</v>
      </c>
      <c r="C293" s="147"/>
      <c r="D293" s="147"/>
      <c r="E293" s="147"/>
      <c r="F293" s="147"/>
      <c r="G293" s="147"/>
      <c r="H293" s="147"/>
      <c r="I293" s="147"/>
      <c r="J293" s="147"/>
      <c r="K293" s="147"/>
      <c r="L293" s="147"/>
      <c r="M293" s="147"/>
      <c r="N293" s="147"/>
      <c r="O293" s="164">
        <v>2</v>
      </c>
      <c r="P293" s="206" t="s">
        <v>77</v>
      </c>
    </row>
    <row r="294" spans="1:16" ht="15.75" customHeight="1" thickBot="1" x14ac:dyDescent="0.25">
      <c r="A294" s="48"/>
      <c r="P294" s="207"/>
    </row>
    <row r="295" spans="1:16" ht="15.75" customHeight="1" thickBot="1" x14ac:dyDescent="0.25">
      <c r="A295" s="42" t="s">
        <v>71</v>
      </c>
      <c r="B295" s="140" t="s">
        <v>268</v>
      </c>
      <c r="C295" s="74"/>
      <c r="D295" s="74"/>
      <c r="E295" s="74"/>
      <c r="F295" s="74"/>
      <c r="G295" s="75"/>
      <c r="H295" s="141"/>
      <c r="I295" s="142"/>
      <c r="J295" s="142"/>
      <c r="K295" s="142"/>
      <c r="L295" s="142"/>
      <c r="M295" s="142"/>
      <c r="N295" s="142"/>
      <c r="O295" s="142"/>
      <c r="P295" s="154"/>
    </row>
    <row r="296" spans="1:16" ht="15.75" customHeight="1" x14ac:dyDescent="0.2">
      <c r="A296" s="63" t="s">
        <v>72</v>
      </c>
      <c r="B296" s="159" t="s">
        <v>677</v>
      </c>
      <c r="C296" s="160"/>
      <c r="D296" s="160"/>
      <c r="E296" s="160"/>
      <c r="F296" s="160"/>
      <c r="G296" s="160"/>
      <c r="H296" s="139"/>
      <c r="I296" s="160"/>
      <c r="J296" s="160"/>
      <c r="K296" s="160"/>
      <c r="L296" s="160"/>
      <c r="M296" s="160"/>
      <c r="N296" s="160" t="s">
        <v>271</v>
      </c>
      <c r="O296" s="173">
        <f>SUM(O297:O298)</f>
        <v>1.3896000000000002</v>
      </c>
      <c r="P296" s="214" t="s">
        <v>11</v>
      </c>
    </row>
    <row r="297" spans="1:16" ht="15.75" customHeight="1" x14ac:dyDescent="0.2">
      <c r="A297" s="63"/>
      <c r="B297" s="163" t="s">
        <v>678</v>
      </c>
      <c r="C297" s="160"/>
      <c r="D297" s="160"/>
      <c r="E297" s="160"/>
      <c r="F297" s="160"/>
      <c r="G297" s="160"/>
      <c r="H297" s="163"/>
      <c r="I297" s="160"/>
      <c r="J297" s="160"/>
      <c r="K297" s="160"/>
      <c r="L297" s="160"/>
      <c r="M297" s="160"/>
      <c r="N297" s="160"/>
      <c r="O297" s="160">
        <f>2*38.6*0.05*0.15</f>
        <v>0.57900000000000007</v>
      </c>
      <c r="P297" s="161" t="s">
        <v>11</v>
      </c>
    </row>
    <row r="298" spans="1:16" ht="15.75" customHeight="1" x14ac:dyDescent="0.2">
      <c r="A298" s="149"/>
      <c r="B298" s="172" t="s">
        <v>679</v>
      </c>
      <c r="C298" s="142"/>
      <c r="D298" s="142"/>
      <c r="E298" s="142"/>
      <c r="F298" s="142"/>
      <c r="G298" s="142"/>
      <c r="H298" s="151"/>
      <c r="I298" s="142"/>
      <c r="J298" s="142"/>
      <c r="K298" s="142"/>
      <c r="L298" s="142"/>
      <c r="M298" s="142"/>
      <c r="N298" s="142"/>
      <c r="O298" s="142">
        <f>38.6*0.3*0.07</f>
        <v>0.8106000000000001</v>
      </c>
      <c r="P298" s="154" t="s">
        <v>11</v>
      </c>
    </row>
    <row r="299" spans="1:16" ht="15.75" customHeight="1" x14ac:dyDescent="0.2">
      <c r="A299" s="63" t="s">
        <v>73</v>
      </c>
      <c r="B299" s="163" t="s">
        <v>764</v>
      </c>
      <c r="C299" s="160"/>
      <c r="D299" s="160"/>
      <c r="E299" s="160"/>
      <c r="F299" s="160"/>
      <c r="G299" s="160"/>
      <c r="H299" s="217" t="s">
        <v>682</v>
      </c>
      <c r="I299" s="160"/>
      <c r="J299" s="160"/>
      <c r="K299" s="160"/>
      <c r="L299" s="160"/>
      <c r="M299" s="160"/>
      <c r="N299" s="160"/>
      <c r="O299" s="173">
        <f>22.6+2.4</f>
        <v>25</v>
      </c>
      <c r="P299" s="214" t="s">
        <v>47</v>
      </c>
    </row>
    <row r="300" spans="1:16" ht="15.75" customHeight="1" x14ac:dyDescent="0.2">
      <c r="A300" s="149"/>
      <c r="B300" s="172"/>
      <c r="C300" s="142"/>
      <c r="D300" s="142"/>
      <c r="E300" s="142"/>
      <c r="F300" s="142"/>
      <c r="G300" s="142"/>
      <c r="H300" s="215" t="s">
        <v>685</v>
      </c>
      <c r="I300" s="142"/>
      <c r="J300" s="142"/>
      <c r="K300" s="142"/>
      <c r="L300" s="142"/>
      <c r="M300" s="142"/>
      <c r="N300" s="142"/>
      <c r="O300" s="167"/>
      <c r="P300" s="208"/>
    </row>
    <row r="301" spans="1:16" ht="15.75" customHeight="1" x14ac:dyDescent="0.2">
      <c r="A301" s="149" t="s">
        <v>680</v>
      </c>
      <c r="B301" s="172" t="s">
        <v>683</v>
      </c>
      <c r="C301" s="142"/>
      <c r="D301" s="142"/>
      <c r="E301" s="142"/>
      <c r="F301" s="142"/>
      <c r="G301" s="142"/>
      <c r="H301" s="151"/>
      <c r="I301" s="142"/>
      <c r="J301" s="142"/>
      <c r="K301" s="142"/>
      <c r="L301" s="142"/>
      <c r="M301" s="142"/>
      <c r="N301" s="142" t="s">
        <v>271</v>
      </c>
      <c r="O301" s="167">
        <v>1</v>
      </c>
      <c r="P301" s="208" t="s">
        <v>77</v>
      </c>
    </row>
    <row r="302" spans="1:16" ht="15.75" customHeight="1" x14ac:dyDescent="0.2">
      <c r="A302" s="149" t="s">
        <v>681</v>
      </c>
      <c r="B302" s="150" t="s">
        <v>763</v>
      </c>
      <c r="C302" s="142"/>
      <c r="D302" s="142"/>
      <c r="E302" s="142"/>
      <c r="F302" s="142"/>
      <c r="G302" s="142"/>
      <c r="H302" s="216" t="s">
        <v>684</v>
      </c>
      <c r="I302" s="142"/>
      <c r="J302" s="142"/>
      <c r="K302" s="142"/>
      <c r="L302" s="142"/>
      <c r="M302" s="142"/>
      <c r="N302" s="142" t="s">
        <v>271</v>
      </c>
      <c r="O302" s="167">
        <v>20</v>
      </c>
      <c r="P302" s="208" t="s">
        <v>47</v>
      </c>
    </row>
    <row r="303" spans="1:16" ht="15.75" customHeight="1" thickBot="1" x14ac:dyDescent="0.25">
      <c r="A303" s="48"/>
      <c r="P303" s="207"/>
    </row>
    <row r="304" spans="1:16" ht="15.75" customHeight="1" thickBot="1" x14ac:dyDescent="0.25">
      <c r="A304" s="42" t="s">
        <v>74</v>
      </c>
      <c r="B304" s="140" t="s">
        <v>263</v>
      </c>
      <c r="C304" s="74"/>
      <c r="D304" s="74"/>
      <c r="E304" s="74"/>
      <c r="F304" s="74"/>
      <c r="G304" s="75"/>
      <c r="H304" s="141"/>
      <c r="I304" s="142"/>
      <c r="J304" s="142"/>
      <c r="K304" s="142"/>
      <c r="L304" s="142"/>
      <c r="M304" s="142"/>
      <c r="N304" s="142"/>
      <c r="O304" s="142"/>
      <c r="P304" s="154"/>
    </row>
    <row r="305" spans="1:16" ht="15.75" customHeight="1" x14ac:dyDescent="0.2">
      <c r="A305" s="149" t="s">
        <v>75</v>
      </c>
      <c r="B305" s="150" t="s">
        <v>657</v>
      </c>
      <c r="C305" s="142"/>
      <c r="D305" s="142"/>
      <c r="E305" s="142"/>
      <c r="F305" s="142"/>
      <c r="G305" s="142"/>
      <c r="H305" s="142"/>
      <c r="I305" s="142"/>
      <c r="J305" s="142"/>
      <c r="K305" s="142"/>
      <c r="L305" s="142"/>
      <c r="M305" s="142"/>
      <c r="N305" s="142" t="s">
        <v>271</v>
      </c>
      <c r="O305" s="167">
        <v>0.5</v>
      </c>
      <c r="P305" s="208" t="s">
        <v>11</v>
      </c>
    </row>
    <row r="306" spans="1:16" ht="15.75" customHeight="1" x14ac:dyDescent="0.2">
      <c r="A306" s="145" t="s">
        <v>76</v>
      </c>
      <c r="B306" s="146" t="s">
        <v>658</v>
      </c>
      <c r="C306" s="147"/>
      <c r="D306" s="147"/>
      <c r="E306" s="147"/>
      <c r="F306" s="147"/>
      <c r="G306" s="147"/>
      <c r="H306" s="147" t="s">
        <v>659</v>
      </c>
      <c r="I306" s="147"/>
      <c r="J306" s="147"/>
      <c r="K306" s="147"/>
      <c r="L306" s="147"/>
      <c r="M306" s="147"/>
      <c r="N306" s="142" t="s">
        <v>271</v>
      </c>
      <c r="O306" s="167">
        <f>19*38.6</f>
        <v>733.4</v>
      </c>
      <c r="P306" s="208" t="s">
        <v>18</v>
      </c>
    </row>
    <row r="307" spans="1:16" ht="15.75" customHeight="1" x14ac:dyDescent="0.2">
      <c r="A307" s="145" t="s">
        <v>127</v>
      </c>
      <c r="B307" s="146" t="s">
        <v>660</v>
      </c>
      <c r="C307" s="147"/>
      <c r="D307" s="147"/>
      <c r="E307" s="147"/>
      <c r="F307" s="147"/>
      <c r="G307" s="147"/>
      <c r="H307" s="147"/>
      <c r="I307" s="147"/>
      <c r="J307" s="147"/>
      <c r="K307" s="147"/>
      <c r="L307" s="147"/>
      <c r="M307" s="147"/>
      <c r="N307" s="142" t="s">
        <v>271</v>
      </c>
      <c r="O307" s="167">
        <v>4</v>
      </c>
      <c r="P307" s="208" t="s">
        <v>77</v>
      </c>
    </row>
    <row r="308" spans="1:16" ht="15.75" customHeight="1" x14ac:dyDescent="0.2">
      <c r="A308" s="145" t="s">
        <v>194</v>
      </c>
      <c r="B308" s="146" t="s">
        <v>670</v>
      </c>
      <c r="C308" s="147"/>
      <c r="D308" s="147"/>
      <c r="E308" s="147"/>
      <c r="F308" s="147"/>
      <c r="G308" s="147"/>
      <c r="H308" s="209" t="s">
        <v>671</v>
      </c>
      <c r="I308" s="147"/>
      <c r="J308" s="147"/>
      <c r="K308" s="147"/>
      <c r="L308" s="147"/>
      <c r="M308" s="147"/>
      <c r="N308" s="142" t="s">
        <v>271</v>
      </c>
      <c r="O308" s="167">
        <f>2*4*6.75</f>
        <v>54</v>
      </c>
      <c r="P308" s="208" t="s">
        <v>47</v>
      </c>
    </row>
    <row r="309" spans="1:16" ht="15.75" customHeight="1" x14ac:dyDescent="0.2">
      <c r="A309" s="145" t="s">
        <v>195</v>
      </c>
      <c r="B309" s="146" t="s">
        <v>720</v>
      </c>
      <c r="C309" s="147"/>
      <c r="D309" s="147"/>
      <c r="E309" s="147"/>
      <c r="F309" s="147"/>
      <c r="G309" s="147"/>
      <c r="H309" s="174" t="s">
        <v>768</v>
      </c>
      <c r="I309" s="147"/>
      <c r="J309" s="147"/>
      <c r="K309" s="147"/>
      <c r="L309" s="147"/>
      <c r="M309" s="147"/>
      <c r="N309" s="142" t="s">
        <v>271</v>
      </c>
      <c r="O309" s="164">
        <f>(19+19)*8+(38.6+38.6)*6</f>
        <v>767.2</v>
      </c>
      <c r="P309" s="208" t="s">
        <v>18</v>
      </c>
    </row>
    <row r="310" spans="1:16" ht="15.75" customHeight="1" x14ac:dyDescent="0.2">
      <c r="A310" s="145" t="s">
        <v>196</v>
      </c>
      <c r="B310" s="146" t="s">
        <v>783</v>
      </c>
      <c r="C310" s="147"/>
      <c r="D310" s="147"/>
      <c r="E310" s="147"/>
      <c r="F310" s="147"/>
      <c r="G310" s="147"/>
      <c r="H310" s="174" t="s">
        <v>784</v>
      </c>
      <c r="I310" s="147"/>
      <c r="J310" s="147"/>
      <c r="K310" s="147"/>
      <c r="L310" s="147"/>
      <c r="M310" s="147"/>
      <c r="N310" s="142" t="s">
        <v>271</v>
      </c>
      <c r="O310" s="164">
        <f>3*1.1*2.1</f>
        <v>6.9300000000000006</v>
      </c>
      <c r="P310" s="208" t="s">
        <v>18</v>
      </c>
    </row>
    <row r="311" spans="1:16" ht="15.75" customHeight="1" thickBot="1" x14ac:dyDescent="0.25">
      <c r="A311" s="48"/>
      <c r="P311" s="207"/>
    </row>
    <row r="312" spans="1:16" ht="15.75" customHeight="1" thickBot="1" x14ac:dyDescent="0.25">
      <c r="A312" s="42" t="s">
        <v>189</v>
      </c>
      <c r="B312" s="140" t="s">
        <v>264</v>
      </c>
      <c r="C312" s="74"/>
      <c r="D312" s="74"/>
      <c r="E312" s="74"/>
      <c r="F312" s="74"/>
      <c r="G312" s="75"/>
      <c r="H312" s="141"/>
      <c r="I312" s="142"/>
      <c r="J312" s="142"/>
      <c r="K312" s="142"/>
      <c r="L312" s="142"/>
      <c r="M312" s="142"/>
      <c r="N312" s="142"/>
      <c r="O312" s="142"/>
      <c r="P312" s="154"/>
    </row>
    <row r="313" spans="1:16" ht="15.75" customHeight="1" x14ac:dyDescent="0.2">
      <c r="A313" s="149" t="s">
        <v>190</v>
      </c>
      <c r="B313" s="150" t="s">
        <v>649</v>
      </c>
      <c r="C313" s="142"/>
      <c r="D313" s="142"/>
      <c r="E313" s="142"/>
      <c r="F313" s="142"/>
      <c r="G313" s="142"/>
      <c r="H313" s="142"/>
      <c r="I313" s="142"/>
      <c r="J313" s="142"/>
      <c r="K313" s="142"/>
      <c r="L313" s="142"/>
      <c r="M313" s="142"/>
      <c r="N313" s="142" t="s">
        <v>271</v>
      </c>
      <c r="O313" s="167">
        <v>1</v>
      </c>
      <c r="P313" s="208" t="s">
        <v>77</v>
      </c>
    </row>
    <row r="314" spans="1:16" ht="15.75" customHeight="1" x14ac:dyDescent="0.2">
      <c r="A314" s="149" t="s">
        <v>191</v>
      </c>
      <c r="B314" s="150" t="s">
        <v>645</v>
      </c>
      <c r="C314" s="142"/>
      <c r="D314" s="142"/>
      <c r="E314" s="142"/>
      <c r="F314" s="142"/>
      <c r="G314" s="142"/>
      <c r="H314" s="142"/>
      <c r="I314" s="142"/>
      <c r="J314" s="142"/>
      <c r="K314" s="142"/>
      <c r="L314" s="142"/>
      <c r="M314" s="142"/>
      <c r="N314" s="142" t="s">
        <v>271</v>
      </c>
      <c r="O314" s="167">
        <v>2</v>
      </c>
      <c r="P314" s="208" t="s">
        <v>77</v>
      </c>
    </row>
    <row r="315" spans="1:16" ht="15.75" customHeight="1" x14ac:dyDescent="0.2">
      <c r="A315" s="149" t="s">
        <v>192</v>
      </c>
      <c r="B315" s="150" t="s">
        <v>644</v>
      </c>
      <c r="C315" s="142"/>
      <c r="D315" s="142"/>
      <c r="E315" s="142"/>
      <c r="F315" s="142"/>
      <c r="G315" s="142"/>
      <c r="H315" s="172" t="s">
        <v>646</v>
      </c>
      <c r="I315" s="142"/>
      <c r="J315" s="142"/>
      <c r="K315" s="142"/>
      <c r="L315" s="142"/>
      <c r="M315" s="142"/>
      <c r="N315" s="142" t="s">
        <v>271</v>
      </c>
      <c r="O315" s="167">
        <v>1</v>
      </c>
      <c r="P315" s="208" t="s">
        <v>77</v>
      </c>
    </row>
    <row r="316" spans="1:16" ht="15.75" customHeight="1" x14ac:dyDescent="0.2">
      <c r="A316" s="149" t="s">
        <v>193</v>
      </c>
      <c r="B316" s="150" t="s">
        <v>639</v>
      </c>
      <c r="C316" s="142"/>
      <c r="D316" s="142"/>
      <c r="E316" s="142"/>
      <c r="F316" s="142"/>
      <c r="G316" s="142"/>
      <c r="H316" s="172" t="s">
        <v>640</v>
      </c>
      <c r="I316" s="142"/>
      <c r="J316" s="191" t="s">
        <v>641</v>
      </c>
      <c r="K316" s="142"/>
      <c r="L316" s="142"/>
      <c r="M316" s="142"/>
      <c r="N316" s="142" t="s">
        <v>271</v>
      </c>
      <c r="O316" s="167">
        <f>4.5+1.5+0.25+0.25+20.2</f>
        <v>26.7</v>
      </c>
      <c r="P316" s="208" t="s">
        <v>47</v>
      </c>
    </row>
    <row r="317" spans="1:16" ht="15.75" customHeight="1" x14ac:dyDescent="0.2">
      <c r="A317" s="149" t="s">
        <v>630</v>
      </c>
      <c r="B317" s="150" t="s">
        <v>642</v>
      </c>
      <c r="C317" s="142"/>
      <c r="D317" s="142"/>
      <c r="E317" s="142"/>
      <c r="F317" s="142"/>
      <c r="G317" s="142"/>
      <c r="H317" s="172"/>
      <c r="I317" s="142"/>
      <c r="J317" s="191"/>
      <c r="K317" s="142"/>
      <c r="L317" s="142"/>
      <c r="M317" s="142"/>
      <c r="N317" s="142" t="s">
        <v>271</v>
      </c>
      <c r="O317" s="167">
        <v>4</v>
      </c>
      <c r="P317" s="208" t="s">
        <v>47</v>
      </c>
    </row>
    <row r="318" spans="1:16" ht="15.75" customHeight="1" x14ac:dyDescent="0.2">
      <c r="A318" s="149" t="s">
        <v>631</v>
      </c>
      <c r="B318" s="150" t="s">
        <v>643</v>
      </c>
      <c r="C318" s="142"/>
      <c r="D318" s="142"/>
      <c r="E318" s="142"/>
      <c r="F318" s="142"/>
      <c r="G318" s="142"/>
      <c r="H318" s="172" t="s">
        <v>640</v>
      </c>
      <c r="I318" s="142"/>
      <c r="J318" s="191" t="s">
        <v>641</v>
      </c>
      <c r="K318" s="142"/>
      <c r="L318" s="142"/>
      <c r="M318" s="142"/>
      <c r="N318" s="142" t="s">
        <v>271</v>
      </c>
      <c r="O318" s="167">
        <v>6</v>
      </c>
      <c r="P318" s="208" t="s">
        <v>47</v>
      </c>
    </row>
    <row r="319" spans="1:16" ht="15.75" customHeight="1" thickBot="1" x14ac:dyDescent="0.25">
      <c r="A319" s="48"/>
      <c r="P319" s="207"/>
    </row>
    <row r="320" spans="1:16" ht="15.75" customHeight="1" thickBot="1" x14ac:dyDescent="0.25">
      <c r="A320" s="42" t="s">
        <v>0</v>
      </c>
      <c r="B320" s="140" t="s">
        <v>265</v>
      </c>
      <c r="C320" s="74"/>
      <c r="D320" s="74"/>
      <c r="E320" s="74"/>
      <c r="F320" s="74"/>
      <c r="G320" s="75"/>
      <c r="H320" s="141"/>
      <c r="I320" s="142"/>
      <c r="J320" s="142"/>
      <c r="K320" s="142"/>
      <c r="L320" s="142"/>
      <c r="M320" s="142"/>
      <c r="N320" s="142"/>
      <c r="O320" s="142"/>
      <c r="P320" s="154"/>
    </row>
    <row r="321" spans="1:16" ht="15.75" customHeight="1" x14ac:dyDescent="0.2">
      <c r="A321" s="149" t="s">
        <v>1</v>
      </c>
      <c r="B321" s="150" t="s">
        <v>635</v>
      </c>
      <c r="C321" s="142"/>
      <c r="D321" s="142"/>
      <c r="E321" s="142"/>
      <c r="F321" s="142"/>
      <c r="G321" s="142"/>
      <c r="H321" s="142"/>
      <c r="I321" s="142"/>
      <c r="J321" s="142"/>
      <c r="K321" s="142"/>
      <c r="L321" s="142"/>
      <c r="M321" s="142"/>
      <c r="N321" s="142" t="s">
        <v>271</v>
      </c>
      <c r="O321" s="167">
        <v>102.48</v>
      </c>
      <c r="P321" s="208" t="s">
        <v>18</v>
      </c>
    </row>
    <row r="322" spans="1:16" ht="15.75" customHeight="1" x14ac:dyDescent="0.2">
      <c r="A322" s="48"/>
    </row>
    <row r="323" spans="1:16" ht="15.75" customHeight="1" x14ac:dyDescent="0.2">
      <c r="A323" s="48"/>
    </row>
    <row r="324" spans="1:16" ht="15.75" customHeight="1" x14ac:dyDescent="0.2">
      <c r="A324" s="48"/>
    </row>
    <row r="325" spans="1:16" ht="15.75" customHeight="1" x14ac:dyDescent="0.2">
      <c r="A325" s="48"/>
    </row>
  </sheetData>
  <pageMargins left="0.51181102362204722" right="0.31496062992125984" top="0.78740157480314965" bottom="0.59055118110236227" header="0.31496062992125984" footer="0.31496062992125984"/>
  <pageSetup paperSize="9" orientation="portrait" horizont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25" zoomScaleNormal="100" workbookViewId="0">
      <selection activeCell="B61" sqref="B61"/>
    </sheetView>
  </sheetViews>
  <sheetFormatPr defaultColWidth="9.140625" defaultRowHeight="12" x14ac:dyDescent="0.2"/>
  <cols>
    <col min="1" max="1" width="15.140625" style="253" customWidth="1"/>
    <col min="2" max="2" width="50.85546875" style="253" customWidth="1"/>
    <col min="3" max="3" width="7.140625" style="253" customWidth="1"/>
    <col min="4" max="4" width="6.28515625" style="253" customWidth="1"/>
    <col min="5" max="5" width="12.28515625" style="253" customWidth="1"/>
    <col min="6" max="6" width="11" style="253" customWidth="1"/>
    <col min="7" max="7" width="13.7109375" style="253" bestFit="1" customWidth="1"/>
    <col min="8" max="16384" width="9.140625" style="253"/>
  </cols>
  <sheetData>
    <row r="1" spans="1:10" ht="12.75" thickBot="1" x14ac:dyDescent="0.25">
      <c r="A1" s="248"/>
      <c r="B1" s="248"/>
      <c r="C1" s="249"/>
      <c r="D1" s="250"/>
      <c r="E1" s="250"/>
      <c r="F1" s="249"/>
      <c r="G1" s="251"/>
      <c r="H1" s="252"/>
      <c r="I1" s="252"/>
      <c r="J1" s="252"/>
    </row>
    <row r="2" spans="1:10" ht="12.75" thickBot="1" x14ac:dyDescent="0.25">
      <c r="A2" s="323" t="s">
        <v>584</v>
      </c>
      <c r="B2" s="320" t="s">
        <v>672</v>
      </c>
      <c r="C2" s="321" t="s">
        <v>18</v>
      </c>
      <c r="D2" s="322"/>
      <c r="E2" s="322"/>
      <c r="F2" s="324"/>
      <c r="G2" s="251"/>
      <c r="H2" s="252"/>
      <c r="I2" s="252"/>
      <c r="J2" s="252"/>
    </row>
    <row r="3" spans="1:10" x14ac:dyDescent="0.2">
      <c r="A3" s="254" t="s">
        <v>129</v>
      </c>
      <c r="B3" s="254" t="s">
        <v>130</v>
      </c>
      <c r="C3" s="254" t="s">
        <v>80</v>
      </c>
      <c r="D3" s="254" t="s">
        <v>131</v>
      </c>
      <c r="E3" s="254" t="s">
        <v>132</v>
      </c>
      <c r="F3" s="254" t="s">
        <v>133</v>
      </c>
      <c r="G3" s="251"/>
      <c r="H3" s="252" t="s">
        <v>572</v>
      </c>
      <c r="I3" s="252" t="s">
        <v>572</v>
      </c>
      <c r="J3" s="252" t="s">
        <v>572</v>
      </c>
    </row>
    <row r="4" spans="1:10" ht="36" x14ac:dyDescent="0.2">
      <c r="A4" s="41" t="s">
        <v>580</v>
      </c>
      <c r="B4" s="255" t="s">
        <v>575</v>
      </c>
      <c r="C4" s="41" t="s">
        <v>18</v>
      </c>
      <c r="D4" s="256">
        <v>1.0049999999999999</v>
      </c>
      <c r="E4" s="257">
        <v>498.11</v>
      </c>
      <c r="F4" s="258">
        <f t="shared" ref="F4:F9" si="0">D4*E4</f>
        <v>500.60054999999994</v>
      </c>
      <c r="G4" s="251"/>
      <c r="H4" s="252"/>
      <c r="I4" s="252"/>
      <c r="J4" s="252"/>
    </row>
    <row r="5" spans="1:10" x14ac:dyDescent="0.2">
      <c r="A5" s="41" t="s">
        <v>579</v>
      </c>
      <c r="B5" s="255" t="s">
        <v>573</v>
      </c>
      <c r="C5" s="41" t="s">
        <v>134</v>
      </c>
      <c r="D5" s="256">
        <v>0.35</v>
      </c>
      <c r="E5" s="257">
        <v>31.86</v>
      </c>
      <c r="F5" s="258">
        <f t="shared" si="0"/>
        <v>11.151</v>
      </c>
      <c r="G5" s="251"/>
      <c r="H5" s="252" t="s">
        <v>572</v>
      </c>
      <c r="I5" s="252" t="s">
        <v>572</v>
      </c>
      <c r="J5" s="252" t="s">
        <v>572</v>
      </c>
    </row>
    <row r="6" spans="1:10" ht="36" x14ac:dyDescent="0.2">
      <c r="A6" s="41" t="s">
        <v>581</v>
      </c>
      <c r="B6" s="255" t="s">
        <v>574</v>
      </c>
      <c r="C6" s="41" t="s">
        <v>80</v>
      </c>
      <c r="D6" s="256">
        <v>4</v>
      </c>
      <c r="E6" s="257">
        <v>0.61</v>
      </c>
      <c r="F6" s="258">
        <f t="shared" si="0"/>
        <v>2.44</v>
      </c>
      <c r="G6" s="251"/>
      <c r="H6" s="252" t="s">
        <v>572</v>
      </c>
      <c r="I6" s="252" t="s">
        <v>572</v>
      </c>
      <c r="J6" s="252" t="s">
        <v>572</v>
      </c>
    </row>
    <row r="7" spans="1:10" ht="24" x14ac:dyDescent="0.2">
      <c r="A7" s="41" t="s">
        <v>582</v>
      </c>
      <c r="B7" s="255" t="s">
        <v>576</v>
      </c>
      <c r="C7" s="41" t="s">
        <v>80</v>
      </c>
      <c r="D7" s="256">
        <v>2</v>
      </c>
      <c r="E7" s="257">
        <v>25.06</v>
      </c>
      <c r="F7" s="258">
        <f t="shared" si="0"/>
        <v>50.12</v>
      </c>
      <c r="G7" s="251"/>
      <c r="H7" s="252" t="s">
        <v>572</v>
      </c>
      <c r="I7" s="252" t="s">
        <v>572</v>
      </c>
      <c r="J7" s="252" t="s">
        <v>572</v>
      </c>
    </row>
    <row r="8" spans="1:10" x14ac:dyDescent="0.2">
      <c r="A8" s="41">
        <v>88274</v>
      </c>
      <c r="B8" s="255" t="s">
        <v>762</v>
      </c>
      <c r="C8" s="41" t="s">
        <v>577</v>
      </c>
      <c r="D8" s="256">
        <v>1</v>
      </c>
      <c r="E8" s="257">
        <v>11.98</v>
      </c>
      <c r="F8" s="258">
        <f t="shared" si="0"/>
        <v>11.98</v>
      </c>
      <c r="G8" s="251"/>
      <c r="H8" s="252" t="s">
        <v>572</v>
      </c>
      <c r="I8" s="252" t="s">
        <v>572</v>
      </c>
      <c r="J8" s="252" t="s">
        <v>572</v>
      </c>
    </row>
    <row r="9" spans="1:10" x14ac:dyDescent="0.2">
      <c r="A9" s="41">
        <v>88316</v>
      </c>
      <c r="B9" s="255" t="s">
        <v>578</v>
      </c>
      <c r="C9" s="41" t="s">
        <v>577</v>
      </c>
      <c r="D9" s="256">
        <v>0.5</v>
      </c>
      <c r="E9" s="257">
        <v>9.9600000000000009</v>
      </c>
      <c r="F9" s="258">
        <f t="shared" si="0"/>
        <v>4.9800000000000004</v>
      </c>
      <c r="G9" s="251"/>
      <c r="H9" s="252" t="s">
        <v>572</v>
      </c>
      <c r="I9" s="252" t="s">
        <v>572</v>
      </c>
      <c r="J9" s="252" t="s">
        <v>572</v>
      </c>
    </row>
    <row r="10" spans="1:10" x14ac:dyDescent="0.2">
      <c r="A10" s="319" t="s">
        <v>135</v>
      </c>
      <c r="B10" s="255"/>
      <c r="C10" s="319"/>
      <c r="D10" s="319"/>
      <c r="E10" s="319"/>
      <c r="F10" s="259">
        <f>SUM(F4:F9)</f>
        <v>581.27155000000005</v>
      </c>
      <c r="G10" s="260">
        <f>2*0.55*2.6*F10</f>
        <v>1662.4366330000003</v>
      </c>
      <c r="H10" s="252" t="s">
        <v>572</v>
      </c>
      <c r="I10" s="252" t="s">
        <v>572</v>
      </c>
      <c r="J10" s="252" t="s">
        <v>572</v>
      </c>
    </row>
    <row r="11" spans="1:10" x14ac:dyDescent="0.2">
      <c r="A11" s="262"/>
      <c r="B11" s="261"/>
      <c r="C11" s="262"/>
      <c r="D11" s="262"/>
      <c r="E11" s="262"/>
      <c r="F11" s="263"/>
    </row>
    <row r="12" spans="1:10" ht="12.75" thickBot="1" x14ac:dyDescent="0.25">
      <c r="A12" s="262"/>
      <c r="B12" s="262"/>
      <c r="C12" s="262"/>
      <c r="D12" s="262"/>
      <c r="E12" s="262"/>
      <c r="F12" s="262"/>
    </row>
    <row r="13" spans="1:10" ht="12.75" thickBot="1" x14ac:dyDescent="0.25">
      <c r="A13" s="323" t="s">
        <v>647</v>
      </c>
      <c r="B13" s="320" t="s">
        <v>648</v>
      </c>
      <c r="C13" s="321" t="s">
        <v>80</v>
      </c>
      <c r="D13" s="322"/>
      <c r="E13" s="322"/>
      <c r="F13" s="324"/>
    </row>
    <row r="14" spans="1:10" x14ac:dyDescent="0.2">
      <c r="A14" s="254" t="s">
        <v>129</v>
      </c>
      <c r="B14" s="254" t="s">
        <v>130</v>
      </c>
      <c r="C14" s="254" t="s">
        <v>80</v>
      </c>
      <c r="D14" s="254" t="s">
        <v>131</v>
      </c>
      <c r="E14" s="254" t="s">
        <v>132</v>
      </c>
      <c r="F14" s="254" t="s">
        <v>133</v>
      </c>
    </row>
    <row r="15" spans="1:10" ht="24" x14ac:dyDescent="0.2">
      <c r="A15" s="41" t="s">
        <v>766</v>
      </c>
      <c r="B15" s="255" t="s">
        <v>765</v>
      </c>
      <c r="C15" s="41" t="s">
        <v>47</v>
      </c>
      <c r="D15" s="256">
        <f>2.2+2.2+1+5</f>
        <v>10.4</v>
      </c>
      <c r="E15" s="257">
        <v>62.2</v>
      </c>
      <c r="F15" s="258">
        <f>D15*E15</f>
        <v>646.88</v>
      </c>
      <c r="H15" s="253" t="s">
        <v>771</v>
      </c>
    </row>
    <row r="16" spans="1:10" ht="36" x14ac:dyDescent="0.2">
      <c r="A16" s="41" t="s">
        <v>653</v>
      </c>
      <c r="B16" s="255" t="s">
        <v>656</v>
      </c>
      <c r="C16" s="41" t="s">
        <v>47</v>
      </c>
      <c r="D16" s="256">
        <v>13.4</v>
      </c>
      <c r="E16" s="257">
        <v>29.65</v>
      </c>
      <c r="F16" s="258">
        <f>D16*E16</f>
        <v>397.31</v>
      </c>
      <c r="H16" s="253" t="s">
        <v>654</v>
      </c>
    </row>
    <row r="17" spans="1:13" x14ac:dyDescent="0.2">
      <c r="A17" s="41" t="s">
        <v>669</v>
      </c>
      <c r="B17" s="255" t="s">
        <v>668</v>
      </c>
      <c r="C17" s="41" t="s">
        <v>577</v>
      </c>
      <c r="D17" s="256">
        <v>4</v>
      </c>
      <c r="E17" s="257">
        <v>12.02</v>
      </c>
      <c r="F17" s="258">
        <f>D17*E17</f>
        <v>48.08</v>
      </c>
    </row>
    <row r="18" spans="1:13" ht="24" x14ac:dyDescent="0.2">
      <c r="A18" s="41" t="s">
        <v>651</v>
      </c>
      <c r="B18" s="255" t="s">
        <v>650</v>
      </c>
      <c r="C18" s="41" t="s">
        <v>18</v>
      </c>
      <c r="D18" s="256">
        <v>6.59</v>
      </c>
      <c r="E18" s="257">
        <v>21.25</v>
      </c>
      <c r="F18" s="258">
        <f>D18*E18</f>
        <v>140.03749999999999</v>
      </c>
      <c r="H18" s="253" t="s">
        <v>655</v>
      </c>
      <c r="M18" s="253">
        <f>(10.4*2*3.14*0.0518+13.4*2*3.14*0.0381)</f>
        <v>6.5893528000000003</v>
      </c>
    </row>
    <row r="19" spans="1:13" ht="36" x14ac:dyDescent="0.2">
      <c r="A19" s="41">
        <v>94963</v>
      </c>
      <c r="B19" s="255" t="s">
        <v>652</v>
      </c>
      <c r="C19" s="41" t="s">
        <v>11</v>
      </c>
      <c r="D19" s="256">
        <v>0.4</v>
      </c>
      <c r="E19" s="257">
        <v>275.24</v>
      </c>
      <c r="F19" s="258">
        <f>D19*E19</f>
        <v>110.096</v>
      </c>
    </row>
    <row r="20" spans="1:13" x14ac:dyDescent="0.2">
      <c r="A20" s="319" t="s">
        <v>135</v>
      </c>
      <c r="B20" s="255"/>
      <c r="C20" s="319"/>
      <c r="D20" s="319"/>
      <c r="E20" s="319"/>
      <c r="F20" s="259">
        <f>SUM(F15:F19)</f>
        <v>1342.4034999999999</v>
      </c>
    </row>
    <row r="23" spans="1:13" ht="12.75" thickBot="1" x14ac:dyDescent="0.25">
      <c r="A23" s="264" t="s">
        <v>661</v>
      </c>
      <c r="B23" s="265"/>
      <c r="C23" s="265"/>
      <c r="D23" s="265"/>
      <c r="E23" s="265"/>
      <c r="F23" s="266"/>
    </row>
    <row r="24" spans="1:13" x14ac:dyDescent="0.2">
      <c r="A24" s="267" t="s">
        <v>663</v>
      </c>
      <c r="B24" s="262"/>
      <c r="C24" s="268">
        <v>654.5</v>
      </c>
      <c r="D24" s="262" t="s">
        <v>18</v>
      </c>
      <c r="E24" s="269">
        <v>45900</v>
      </c>
      <c r="F24" s="270"/>
    </row>
    <row r="25" spans="1:13" x14ac:dyDescent="0.2">
      <c r="A25" s="271"/>
      <c r="B25" s="262"/>
      <c r="C25" s="262"/>
      <c r="D25" s="262"/>
      <c r="E25" s="269">
        <f>E24/C24</f>
        <v>70.129870129870127</v>
      </c>
      <c r="F25" s="270" t="s">
        <v>662</v>
      </c>
    </row>
    <row r="26" spans="1:13" x14ac:dyDescent="0.2">
      <c r="A26" s="272" t="s">
        <v>664</v>
      </c>
      <c r="B26" s="262"/>
      <c r="C26" s="268">
        <v>734</v>
      </c>
      <c r="D26" s="262" t="s">
        <v>18</v>
      </c>
      <c r="E26" s="269">
        <v>49178</v>
      </c>
      <c r="F26" s="270"/>
    </row>
    <row r="27" spans="1:13" x14ac:dyDescent="0.2">
      <c r="A27" s="271"/>
      <c r="B27" s="262"/>
      <c r="C27" s="262"/>
      <c r="D27" s="262"/>
      <c r="E27" s="269">
        <f>E26/C26</f>
        <v>67</v>
      </c>
      <c r="F27" s="270" t="s">
        <v>662</v>
      </c>
    </row>
    <row r="28" spans="1:13" x14ac:dyDescent="0.2">
      <c r="A28" s="272" t="s">
        <v>665</v>
      </c>
      <c r="B28" s="262"/>
      <c r="C28" s="268">
        <v>733.4</v>
      </c>
      <c r="D28" s="262" t="s">
        <v>18</v>
      </c>
      <c r="E28" s="269">
        <v>63806</v>
      </c>
      <c r="F28" s="270"/>
    </row>
    <row r="29" spans="1:13" x14ac:dyDescent="0.2">
      <c r="A29" s="271"/>
      <c r="B29" s="262"/>
      <c r="C29" s="262"/>
      <c r="D29" s="262"/>
      <c r="E29" s="269">
        <f>E28/C28</f>
        <v>87.000272702481595</v>
      </c>
      <c r="F29" s="270" t="s">
        <v>662</v>
      </c>
    </row>
    <row r="30" spans="1:13" x14ac:dyDescent="0.2">
      <c r="A30" s="271"/>
      <c r="B30" s="262"/>
      <c r="C30" s="262"/>
      <c r="D30" s="262"/>
      <c r="E30" s="262"/>
      <c r="F30" s="270"/>
    </row>
    <row r="31" spans="1:13" x14ac:dyDescent="0.2">
      <c r="A31" s="273"/>
      <c r="B31" s="274" t="s">
        <v>782</v>
      </c>
      <c r="C31" s="274"/>
      <c r="D31" s="274"/>
      <c r="E31" s="275">
        <v>70.13</v>
      </c>
      <c r="F31" s="276" t="s">
        <v>662</v>
      </c>
    </row>
    <row r="34" spans="1:6" x14ac:dyDescent="0.2">
      <c r="A34" s="302" t="s">
        <v>767</v>
      </c>
      <c r="B34" s="303"/>
      <c r="C34" s="303"/>
      <c r="D34" s="303"/>
      <c r="E34" s="303"/>
      <c r="F34" s="304"/>
    </row>
    <row r="35" spans="1:6" ht="12.75" thickBot="1" x14ac:dyDescent="0.25">
      <c r="A35" s="300" t="s">
        <v>788</v>
      </c>
      <c r="B35" s="248"/>
      <c r="C35" s="248"/>
      <c r="D35" s="248"/>
      <c r="E35" s="248"/>
      <c r="F35" s="301"/>
    </row>
    <row r="36" spans="1:6" x14ac:dyDescent="0.2">
      <c r="A36" s="267" t="s">
        <v>769</v>
      </c>
      <c r="B36" s="262"/>
      <c r="C36" s="268">
        <v>767.2</v>
      </c>
      <c r="D36" s="262" t="s">
        <v>18</v>
      </c>
      <c r="E36" s="269">
        <v>9590</v>
      </c>
      <c r="F36" s="270"/>
    </row>
    <row r="37" spans="1:6" x14ac:dyDescent="0.2">
      <c r="A37" s="271" t="s">
        <v>770</v>
      </c>
      <c r="B37" s="262"/>
      <c r="C37" s="268"/>
      <c r="D37" s="262"/>
      <c r="E37" s="269">
        <v>12.25</v>
      </c>
      <c r="F37" s="270" t="s">
        <v>662</v>
      </c>
    </row>
    <row r="38" spans="1:6" x14ac:dyDescent="0.2">
      <c r="A38" s="271" t="s">
        <v>787</v>
      </c>
      <c r="B38" s="262"/>
      <c r="C38" s="268"/>
      <c r="D38" s="262"/>
      <c r="E38" s="269"/>
      <c r="F38" s="270"/>
    </row>
    <row r="39" spans="1:6" x14ac:dyDescent="0.2">
      <c r="A39" s="272" t="s">
        <v>792</v>
      </c>
      <c r="B39" s="262"/>
      <c r="C39" s="268">
        <v>767.2</v>
      </c>
      <c r="D39" s="262" t="s">
        <v>18</v>
      </c>
      <c r="E39" s="269"/>
      <c r="F39" s="270"/>
    </row>
    <row r="40" spans="1:6" x14ac:dyDescent="0.2">
      <c r="A40" s="271" t="s">
        <v>791</v>
      </c>
      <c r="B40" s="262"/>
      <c r="C40" s="268"/>
      <c r="D40" s="262"/>
      <c r="E40" s="269">
        <v>12</v>
      </c>
      <c r="F40" s="270" t="s">
        <v>662</v>
      </c>
    </row>
    <row r="41" spans="1:6" x14ac:dyDescent="0.2">
      <c r="A41" s="271" t="s">
        <v>793</v>
      </c>
      <c r="B41" s="262"/>
      <c r="C41" s="268"/>
      <c r="D41" s="262"/>
      <c r="E41" s="269"/>
      <c r="F41" s="270"/>
    </row>
    <row r="42" spans="1:6" x14ac:dyDescent="0.2">
      <c r="A42" s="272" t="s">
        <v>785</v>
      </c>
      <c r="B42" s="262"/>
      <c r="C42" s="268">
        <v>767.2</v>
      </c>
      <c r="D42" s="262" t="s">
        <v>18</v>
      </c>
      <c r="E42" s="269">
        <v>11500</v>
      </c>
      <c r="F42" s="270"/>
    </row>
    <row r="43" spans="1:6" x14ac:dyDescent="0.2">
      <c r="A43" s="271" t="s">
        <v>789</v>
      </c>
      <c r="B43" s="262"/>
      <c r="C43" s="262"/>
      <c r="D43" s="262"/>
      <c r="E43" s="269">
        <f>E42/C42</f>
        <v>14.989572471324296</v>
      </c>
      <c r="F43" s="270"/>
    </row>
    <row r="44" spans="1:6" x14ac:dyDescent="0.2">
      <c r="A44" s="271" t="s">
        <v>786</v>
      </c>
      <c r="B44" s="262"/>
      <c r="C44" s="262"/>
      <c r="D44" s="262"/>
      <c r="E44" s="269"/>
      <c r="F44" s="270"/>
    </row>
    <row r="45" spans="1:6" x14ac:dyDescent="0.2">
      <c r="A45" s="273"/>
      <c r="B45" s="277" t="s">
        <v>782</v>
      </c>
      <c r="C45" s="277"/>
      <c r="D45" s="277"/>
      <c r="E45" s="278">
        <v>12.25</v>
      </c>
      <c r="F45" s="276" t="s">
        <v>662</v>
      </c>
    </row>
    <row r="46" spans="1:6" x14ac:dyDescent="0.2">
      <c r="B46" s="280"/>
      <c r="C46" s="280"/>
      <c r="D46" s="280"/>
      <c r="E46" s="280"/>
      <c r="F46" s="280"/>
    </row>
    <row r="49" spans="1:6" ht="12.75" thickBot="1" x14ac:dyDescent="0.25">
      <c r="A49" s="264" t="s">
        <v>675</v>
      </c>
      <c r="B49" s="265"/>
      <c r="C49" s="265"/>
      <c r="D49" s="265"/>
      <c r="E49" s="265"/>
      <c r="F49" s="266"/>
    </row>
    <row r="50" spans="1:6" x14ac:dyDescent="0.2">
      <c r="A50" s="267" t="s">
        <v>673</v>
      </c>
      <c r="B50" s="262"/>
      <c r="C50" s="262"/>
      <c r="D50" s="262"/>
      <c r="E50" s="269">
        <v>279</v>
      </c>
      <c r="F50" s="270" t="s">
        <v>77</v>
      </c>
    </row>
    <row r="51" spans="1:6" x14ac:dyDescent="0.2">
      <c r="A51" s="271"/>
      <c r="B51" s="262"/>
      <c r="C51" s="262"/>
      <c r="D51" s="262"/>
      <c r="E51" s="269"/>
      <c r="F51" s="270"/>
    </row>
    <row r="52" spans="1:6" x14ac:dyDescent="0.2">
      <c r="A52" s="272" t="s">
        <v>674</v>
      </c>
      <c r="B52" s="262"/>
      <c r="C52" s="262"/>
      <c r="D52" s="262"/>
      <c r="E52" s="269">
        <v>265</v>
      </c>
      <c r="F52" s="270" t="s">
        <v>77</v>
      </c>
    </row>
    <row r="53" spans="1:6" x14ac:dyDescent="0.2">
      <c r="A53" s="271"/>
      <c r="B53" s="262"/>
      <c r="C53" s="262"/>
      <c r="D53" s="262"/>
      <c r="E53" s="269"/>
      <c r="F53" s="270"/>
    </row>
    <row r="54" spans="1:6" x14ac:dyDescent="0.2">
      <c r="A54" s="272" t="s">
        <v>676</v>
      </c>
      <c r="B54" s="262"/>
      <c r="C54" s="262"/>
      <c r="D54" s="262"/>
      <c r="E54" s="269">
        <v>330</v>
      </c>
      <c r="F54" s="270" t="s">
        <v>77</v>
      </c>
    </row>
    <row r="55" spans="1:6" x14ac:dyDescent="0.2">
      <c r="A55" s="271"/>
      <c r="B55" s="262"/>
      <c r="C55" s="262"/>
      <c r="D55" s="262"/>
      <c r="E55" s="269"/>
      <c r="F55" s="270"/>
    </row>
    <row r="56" spans="1:6" x14ac:dyDescent="0.2">
      <c r="A56" s="273"/>
      <c r="B56" s="277" t="s">
        <v>667</v>
      </c>
      <c r="C56" s="277"/>
      <c r="D56" s="277"/>
      <c r="E56" s="278">
        <v>279</v>
      </c>
      <c r="F56" s="279" t="s">
        <v>77</v>
      </c>
    </row>
    <row r="57" spans="1:6" x14ac:dyDescent="0.2">
      <c r="B57" s="280"/>
      <c r="C57" s="280"/>
      <c r="D57" s="280"/>
      <c r="E57" s="280"/>
      <c r="F57" s="280"/>
    </row>
  </sheetData>
  <pageMargins left="0.39370078740157483" right="0.39370078740157483" top="0.78740157480314965" bottom="0.78740157480314965" header="0.31496062992125984" footer="0.31496062992125984"/>
  <pageSetup paperSize="9" scale="90" orientation="portrait" horizont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>
      <selection activeCell="G20" sqref="G20"/>
    </sheetView>
  </sheetViews>
  <sheetFormatPr defaultRowHeight="10.5" customHeight="1" x14ac:dyDescent="0.15"/>
  <cols>
    <col min="1" max="1" width="42" style="221" customWidth="1"/>
    <col min="2" max="7" width="15.5703125" style="221" customWidth="1"/>
    <col min="8" max="258" width="9.140625" style="221"/>
    <col min="259" max="259" width="58.28515625" style="221" customWidth="1"/>
    <col min="260" max="263" width="17.140625" style="221" customWidth="1"/>
    <col min="264" max="514" width="9.140625" style="221"/>
    <col min="515" max="515" width="58.28515625" style="221" customWidth="1"/>
    <col min="516" max="519" width="17.140625" style="221" customWidth="1"/>
    <col min="520" max="770" width="9.140625" style="221"/>
    <col min="771" max="771" width="58.28515625" style="221" customWidth="1"/>
    <col min="772" max="775" width="17.140625" style="221" customWidth="1"/>
    <col min="776" max="1026" width="9.140625" style="221"/>
    <col min="1027" max="1027" width="58.28515625" style="221" customWidth="1"/>
    <col min="1028" max="1031" width="17.140625" style="221" customWidth="1"/>
    <col min="1032" max="1282" width="9.140625" style="221"/>
    <col min="1283" max="1283" width="58.28515625" style="221" customWidth="1"/>
    <col min="1284" max="1287" width="17.140625" style="221" customWidth="1"/>
    <col min="1288" max="1538" width="9.140625" style="221"/>
    <col min="1539" max="1539" width="58.28515625" style="221" customWidth="1"/>
    <col min="1540" max="1543" width="17.140625" style="221" customWidth="1"/>
    <col min="1544" max="1794" width="9.140625" style="221"/>
    <col min="1795" max="1795" width="58.28515625" style="221" customWidth="1"/>
    <col min="1796" max="1799" width="17.140625" style="221" customWidth="1"/>
    <col min="1800" max="2050" width="9.140625" style="221"/>
    <col min="2051" max="2051" width="58.28515625" style="221" customWidth="1"/>
    <col min="2052" max="2055" width="17.140625" style="221" customWidth="1"/>
    <col min="2056" max="2306" width="9.140625" style="221"/>
    <col min="2307" max="2307" width="58.28515625" style="221" customWidth="1"/>
    <col min="2308" max="2311" width="17.140625" style="221" customWidth="1"/>
    <col min="2312" max="2562" width="9.140625" style="221"/>
    <col min="2563" max="2563" width="58.28515625" style="221" customWidth="1"/>
    <col min="2564" max="2567" width="17.140625" style="221" customWidth="1"/>
    <col min="2568" max="2818" width="9.140625" style="221"/>
    <col min="2819" max="2819" width="58.28515625" style="221" customWidth="1"/>
    <col min="2820" max="2823" width="17.140625" style="221" customWidth="1"/>
    <col min="2824" max="3074" width="9.140625" style="221"/>
    <col min="3075" max="3075" width="58.28515625" style="221" customWidth="1"/>
    <col min="3076" max="3079" width="17.140625" style="221" customWidth="1"/>
    <col min="3080" max="3330" width="9.140625" style="221"/>
    <col min="3331" max="3331" width="58.28515625" style="221" customWidth="1"/>
    <col min="3332" max="3335" width="17.140625" style="221" customWidth="1"/>
    <col min="3336" max="3586" width="9.140625" style="221"/>
    <col min="3587" max="3587" width="58.28515625" style="221" customWidth="1"/>
    <col min="3588" max="3591" width="17.140625" style="221" customWidth="1"/>
    <col min="3592" max="3842" width="9.140625" style="221"/>
    <col min="3843" max="3843" width="58.28515625" style="221" customWidth="1"/>
    <col min="3844" max="3847" width="17.140625" style="221" customWidth="1"/>
    <col min="3848" max="4098" width="9.140625" style="221"/>
    <col min="4099" max="4099" width="58.28515625" style="221" customWidth="1"/>
    <col min="4100" max="4103" width="17.140625" style="221" customWidth="1"/>
    <col min="4104" max="4354" width="9.140625" style="221"/>
    <col min="4355" max="4355" width="58.28515625" style="221" customWidth="1"/>
    <col min="4356" max="4359" width="17.140625" style="221" customWidth="1"/>
    <col min="4360" max="4610" width="9.140625" style="221"/>
    <col min="4611" max="4611" width="58.28515625" style="221" customWidth="1"/>
    <col min="4612" max="4615" width="17.140625" style="221" customWidth="1"/>
    <col min="4616" max="4866" width="9.140625" style="221"/>
    <col min="4867" max="4867" width="58.28515625" style="221" customWidth="1"/>
    <col min="4868" max="4871" width="17.140625" style="221" customWidth="1"/>
    <col min="4872" max="5122" width="9.140625" style="221"/>
    <col min="5123" max="5123" width="58.28515625" style="221" customWidth="1"/>
    <col min="5124" max="5127" width="17.140625" style="221" customWidth="1"/>
    <col min="5128" max="5378" width="9.140625" style="221"/>
    <col min="5379" max="5379" width="58.28515625" style="221" customWidth="1"/>
    <col min="5380" max="5383" width="17.140625" style="221" customWidth="1"/>
    <col min="5384" max="5634" width="9.140625" style="221"/>
    <col min="5635" max="5635" width="58.28515625" style="221" customWidth="1"/>
    <col min="5636" max="5639" width="17.140625" style="221" customWidth="1"/>
    <col min="5640" max="5890" width="9.140625" style="221"/>
    <col min="5891" max="5891" width="58.28515625" style="221" customWidth="1"/>
    <col min="5892" max="5895" width="17.140625" style="221" customWidth="1"/>
    <col min="5896" max="6146" width="9.140625" style="221"/>
    <col min="6147" max="6147" width="58.28515625" style="221" customWidth="1"/>
    <col min="6148" max="6151" width="17.140625" style="221" customWidth="1"/>
    <col min="6152" max="6402" width="9.140625" style="221"/>
    <col min="6403" max="6403" width="58.28515625" style="221" customWidth="1"/>
    <col min="6404" max="6407" width="17.140625" style="221" customWidth="1"/>
    <col min="6408" max="6658" width="9.140625" style="221"/>
    <col min="6659" max="6659" width="58.28515625" style="221" customWidth="1"/>
    <col min="6660" max="6663" width="17.140625" style="221" customWidth="1"/>
    <col min="6664" max="6914" width="9.140625" style="221"/>
    <col min="6915" max="6915" width="58.28515625" style="221" customWidth="1"/>
    <col min="6916" max="6919" width="17.140625" style="221" customWidth="1"/>
    <col min="6920" max="7170" width="9.140625" style="221"/>
    <col min="7171" max="7171" width="58.28515625" style="221" customWidth="1"/>
    <col min="7172" max="7175" width="17.140625" style="221" customWidth="1"/>
    <col min="7176" max="7426" width="9.140625" style="221"/>
    <col min="7427" max="7427" width="58.28515625" style="221" customWidth="1"/>
    <col min="7428" max="7431" width="17.140625" style="221" customWidth="1"/>
    <col min="7432" max="7682" width="9.140625" style="221"/>
    <col min="7683" max="7683" width="58.28515625" style="221" customWidth="1"/>
    <col min="7684" max="7687" width="17.140625" style="221" customWidth="1"/>
    <col min="7688" max="7938" width="9.140625" style="221"/>
    <col min="7939" max="7939" width="58.28515625" style="221" customWidth="1"/>
    <col min="7940" max="7943" width="17.140625" style="221" customWidth="1"/>
    <col min="7944" max="8194" width="9.140625" style="221"/>
    <col min="8195" max="8195" width="58.28515625" style="221" customWidth="1"/>
    <col min="8196" max="8199" width="17.140625" style="221" customWidth="1"/>
    <col min="8200" max="8450" width="9.140625" style="221"/>
    <col min="8451" max="8451" width="58.28515625" style="221" customWidth="1"/>
    <col min="8452" max="8455" width="17.140625" style="221" customWidth="1"/>
    <col min="8456" max="8706" width="9.140625" style="221"/>
    <col min="8707" max="8707" width="58.28515625" style="221" customWidth="1"/>
    <col min="8708" max="8711" width="17.140625" style="221" customWidth="1"/>
    <col min="8712" max="8962" width="9.140625" style="221"/>
    <col min="8963" max="8963" width="58.28515625" style="221" customWidth="1"/>
    <col min="8964" max="8967" width="17.140625" style="221" customWidth="1"/>
    <col min="8968" max="9218" width="9.140625" style="221"/>
    <col min="9219" max="9219" width="58.28515625" style="221" customWidth="1"/>
    <col min="9220" max="9223" width="17.140625" style="221" customWidth="1"/>
    <col min="9224" max="9474" width="9.140625" style="221"/>
    <col min="9475" max="9475" width="58.28515625" style="221" customWidth="1"/>
    <col min="9476" max="9479" width="17.140625" style="221" customWidth="1"/>
    <col min="9480" max="9730" width="9.140625" style="221"/>
    <col min="9731" max="9731" width="58.28515625" style="221" customWidth="1"/>
    <col min="9732" max="9735" width="17.140625" style="221" customWidth="1"/>
    <col min="9736" max="9986" width="9.140625" style="221"/>
    <col min="9987" max="9987" width="58.28515625" style="221" customWidth="1"/>
    <col min="9988" max="9991" width="17.140625" style="221" customWidth="1"/>
    <col min="9992" max="10242" width="9.140625" style="221"/>
    <col min="10243" max="10243" width="58.28515625" style="221" customWidth="1"/>
    <col min="10244" max="10247" width="17.140625" style="221" customWidth="1"/>
    <col min="10248" max="10498" width="9.140625" style="221"/>
    <col min="10499" max="10499" width="58.28515625" style="221" customWidth="1"/>
    <col min="10500" max="10503" width="17.140625" style="221" customWidth="1"/>
    <col min="10504" max="10754" width="9.140625" style="221"/>
    <col min="10755" max="10755" width="58.28515625" style="221" customWidth="1"/>
    <col min="10756" max="10759" width="17.140625" style="221" customWidth="1"/>
    <col min="10760" max="11010" width="9.140625" style="221"/>
    <col min="11011" max="11011" width="58.28515625" style="221" customWidth="1"/>
    <col min="11012" max="11015" width="17.140625" style="221" customWidth="1"/>
    <col min="11016" max="11266" width="9.140625" style="221"/>
    <col min="11267" max="11267" width="58.28515625" style="221" customWidth="1"/>
    <col min="11268" max="11271" width="17.140625" style="221" customWidth="1"/>
    <col min="11272" max="11522" width="9.140625" style="221"/>
    <col min="11523" max="11523" width="58.28515625" style="221" customWidth="1"/>
    <col min="11524" max="11527" width="17.140625" style="221" customWidth="1"/>
    <col min="11528" max="11778" width="9.140625" style="221"/>
    <col min="11779" max="11779" width="58.28515625" style="221" customWidth="1"/>
    <col min="11780" max="11783" width="17.140625" style="221" customWidth="1"/>
    <col min="11784" max="12034" width="9.140625" style="221"/>
    <col min="12035" max="12035" width="58.28515625" style="221" customWidth="1"/>
    <col min="12036" max="12039" width="17.140625" style="221" customWidth="1"/>
    <col min="12040" max="12290" width="9.140625" style="221"/>
    <col min="12291" max="12291" width="58.28515625" style="221" customWidth="1"/>
    <col min="12292" max="12295" width="17.140625" style="221" customWidth="1"/>
    <col min="12296" max="12546" width="9.140625" style="221"/>
    <col min="12547" max="12547" width="58.28515625" style="221" customWidth="1"/>
    <col min="12548" max="12551" width="17.140625" style="221" customWidth="1"/>
    <col min="12552" max="12802" width="9.140625" style="221"/>
    <col min="12803" max="12803" width="58.28515625" style="221" customWidth="1"/>
    <col min="12804" max="12807" width="17.140625" style="221" customWidth="1"/>
    <col min="12808" max="13058" width="9.140625" style="221"/>
    <col min="13059" max="13059" width="58.28515625" style="221" customWidth="1"/>
    <col min="13060" max="13063" width="17.140625" style="221" customWidth="1"/>
    <col min="13064" max="13314" width="9.140625" style="221"/>
    <col min="13315" max="13315" width="58.28515625" style="221" customWidth="1"/>
    <col min="13316" max="13319" width="17.140625" style="221" customWidth="1"/>
    <col min="13320" max="13570" width="9.140625" style="221"/>
    <col min="13571" max="13571" width="58.28515625" style="221" customWidth="1"/>
    <col min="13572" max="13575" width="17.140625" style="221" customWidth="1"/>
    <col min="13576" max="13826" width="9.140625" style="221"/>
    <col min="13827" max="13827" width="58.28515625" style="221" customWidth="1"/>
    <col min="13828" max="13831" width="17.140625" style="221" customWidth="1"/>
    <col min="13832" max="14082" width="9.140625" style="221"/>
    <col min="14083" max="14083" width="58.28515625" style="221" customWidth="1"/>
    <col min="14084" max="14087" width="17.140625" style="221" customWidth="1"/>
    <col min="14088" max="14338" width="9.140625" style="221"/>
    <col min="14339" max="14339" width="58.28515625" style="221" customWidth="1"/>
    <col min="14340" max="14343" width="17.140625" style="221" customWidth="1"/>
    <col min="14344" max="14594" width="9.140625" style="221"/>
    <col min="14595" max="14595" width="58.28515625" style="221" customWidth="1"/>
    <col min="14596" max="14599" width="17.140625" style="221" customWidth="1"/>
    <col min="14600" max="14850" width="9.140625" style="221"/>
    <col min="14851" max="14851" width="58.28515625" style="221" customWidth="1"/>
    <col min="14852" max="14855" width="17.140625" style="221" customWidth="1"/>
    <col min="14856" max="15106" width="9.140625" style="221"/>
    <col min="15107" max="15107" width="58.28515625" style="221" customWidth="1"/>
    <col min="15108" max="15111" width="17.140625" style="221" customWidth="1"/>
    <col min="15112" max="15362" width="9.140625" style="221"/>
    <col min="15363" max="15363" width="58.28515625" style="221" customWidth="1"/>
    <col min="15364" max="15367" width="17.140625" style="221" customWidth="1"/>
    <col min="15368" max="15618" width="9.140625" style="221"/>
    <col min="15619" max="15619" width="58.28515625" style="221" customWidth="1"/>
    <col min="15620" max="15623" width="17.140625" style="221" customWidth="1"/>
    <col min="15624" max="15874" width="9.140625" style="221"/>
    <col min="15875" max="15875" width="58.28515625" style="221" customWidth="1"/>
    <col min="15876" max="15879" width="17.140625" style="221" customWidth="1"/>
    <col min="15880" max="16130" width="9.140625" style="221"/>
    <col min="16131" max="16131" width="58.28515625" style="221" customWidth="1"/>
    <col min="16132" max="16135" width="17.140625" style="221" customWidth="1"/>
    <col min="16136" max="16384" width="9.140625" style="221"/>
  </cols>
  <sheetData>
    <row r="1" spans="1:7" ht="19.5" customHeight="1" x14ac:dyDescent="0.15">
      <c r="A1" s="352" t="s">
        <v>721</v>
      </c>
      <c r="B1" s="353"/>
      <c r="C1" s="353"/>
      <c r="D1" s="353"/>
      <c r="E1" s="353"/>
      <c r="F1" s="353"/>
      <c r="G1" s="354"/>
    </row>
    <row r="2" spans="1:7" ht="10.5" customHeight="1" x14ac:dyDescent="0.15">
      <c r="A2" s="355" t="s">
        <v>722</v>
      </c>
      <c r="B2" s="356"/>
      <c r="C2" s="356"/>
      <c r="D2" s="356"/>
      <c r="E2" s="356"/>
      <c r="F2" s="356"/>
      <c r="G2" s="357"/>
    </row>
    <row r="3" spans="1:7" ht="10.5" customHeight="1" x14ac:dyDescent="0.15">
      <c r="A3" s="355" t="s">
        <v>723</v>
      </c>
      <c r="B3" s="356"/>
      <c r="C3" s="356"/>
      <c r="D3" s="356"/>
      <c r="E3" s="356"/>
      <c r="F3" s="356"/>
      <c r="G3" s="357"/>
    </row>
    <row r="4" spans="1:7" ht="13.5" customHeight="1" x14ac:dyDescent="0.15">
      <c r="A4" s="355" t="s">
        <v>724</v>
      </c>
      <c r="B4" s="356"/>
      <c r="C4" s="356"/>
      <c r="D4" s="356"/>
      <c r="E4" s="356"/>
      <c r="F4" s="356"/>
      <c r="G4" s="357"/>
    </row>
    <row r="5" spans="1:7" ht="10.5" customHeight="1" thickBot="1" x14ac:dyDescent="0.2">
      <c r="A5" s="358" t="s">
        <v>725</v>
      </c>
      <c r="B5" s="359"/>
      <c r="C5" s="359"/>
      <c r="D5" s="359"/>
      <c r="E5" s="359"/>
      <c r="F5" s="359"/>
      <c r="G5" s="360"/>
    </row>
    <row r="7" spans="1:7" ht="10.5" customHeight="1" x14ac:dyDescent="0.2">
      <c r="A7" s="372" t="s">
        <v>686</v>
      </c>
      <c r="B7" s="373"/>
      <c r="C7" s="373"/>
      <c r="D7" s="373"/>
      <c r="E7" s="373"/>
      <c r="F7" s="373"/>
      <c r="G7" s="374"/>
    </row>
    <row r="8" spans="1:7" ht="10.5" customHeight="1" x14ac:dyDescent="0.2">
      <c r="A8" s="375" t="s">
        <v>719</v>
      </c>
      <c r="B8" s="375"/>
      <c r="C8" s="375"/>
      <c r="D8" s="375"/>
      <c r="E8" s="375"/>
      <c r="F8" s="375"/>
      <c r="G8" s="375"/>
    </row>
    <row r="9" spans="1:7" ht="10.5" customHeight="1" x14ac:dyDescent="0.2">
      <c r="A9" s="375" t="s">
        <v>715</v>
      </c>
      <c r="B9" s="375"/>
      <c r="C9" s="375"/>
      <c r="D9" s="375"/>
      <c r="E9" s="375"/>
      <c r="F9" s="375"/>
      <c r="G9" s="375"/>
    </row>
    <row r="10" spans="1:7" ht="10.5" customHeight="1" x14ac:dyDescent="0.2">
      <c r="A10" s="245" t="s">
        <v>714</v>
      </c>
      <c r="B10" s="245"/>
      <c r="C10" s="245"/>
      <c r="D10" s="245"/>
      <c r="E10" s="245"/>
      <c r="F10" s="247" t="s">
        <v>109</v>
      </c>
      <c r="G10" s="246">
        <f>'Orçamento 15x20'!H7</f>
        <v>0.28939999999999999</v>
      </c>
    </row>
    <row r="11" spans="1:7" ht="10.5" customHeight="1" thickBot="1" x14ac:dyDescent="0.25">
      <c r="A11" s="222"/>
      <c r="B11" s="222"/>
      <c r="C11" s="222"/>
      <c r="D11" s="222"/>
      <c r="E11" s="222"/>
      <c r="F11" s="222"/>
      <c r="G11" s="222"/>
    </row>
    <row r="12" spans="1:7" ht="10.5" customHeight="1" thickBot="1" x14ac:dyDescent="0.25">
      <c r="A12" s="228" t="s">
        <v>78</v>
      </c>
      <c r="B12" s="229" t="s">
        <v>687</v>
      </c>
      <c r="C12" s="229" t="s">
        <v>688</v>
      </c>
      <c r="D12" s="229" t="s">
        <v>689</v>
      </c>
      <c r="E12" s="229" t="s">
        <v>716</v>
      </c>
      <c r="F12" s="229" t="s">
        <v>717</v>
      </c>
      <c r="G12" s="230" t="s">
        <v>690</v>
      </c>
    </row>
    <row r="13" spans="1:7" ht="10.5" customHeight="1" x14ac:dyDescent="0.2">
      <c r="A13" s="376" t="s">
        <v>695</v>
      </c>
      <c r="B13" s="231">
        <f>$G13*B14</f>
        <v>220.49874672000004</v>
      </c>
      <c r="C13" s="231">
        <f>$G13*C14</f>
        <v>0</v>
      </c>
      <c r="D13" s="231">
        <f>$G13*D14</f>
        <v>0</v>
      </c>
      <c r="E13" s="231">
        <f>$G13*E14</f>
        <v>0</v>
      </c>
      <c r="F13" s="244">
        <f>$G13*F14</f>
        <v>0</v>
      </c>
      <c r="G13" s="242">
        <f>'Orçamento 15x20'!H16</f>
        <v>220.49874672000004</v>
      </c>
    </row>
    <row r="14" spans="1:7" ht="10.5" customHeight="1" x14ac:dyDescent="0.2">
      <c r="A14" s="370"/>
      <c r="B14" s="218">
        <v>1</v>
      </c>
      <c r="C14" s="219"/>
      <c r="D14" s="219"/>
      <c r="E14" s="239"/>
      <c r="F14" s="219"/>
      <c r="G14" s="220" t="e">
        <f>G13/$G$49</f>
        <v>#REF!</v>
      </c>
    </row>
    <row r="15" spans="1:7" ht="10.5" customHeight="1" x14ac:dyDescent="0.2">
      <c r="A15" s="369" t="s">
        <v>696</v>
      </c>
      <c r="B15" s="231">
        <f>$G15*B16</f>
        <v>126.41161554000001</v>
      </c>
      <c r="C15" s="231">
        <f>$G15*C16</f>
        <v>0</v>
      </c>
      <c r="D15" s="231">
        <f>$G15*D16</f>
        <v>0</v>
      </c>
      <c r="E15" s="231">
        <f>$G15*E16</f>
        <v>0</v>
      </c>
      <c r="F15" s="232">
        <f>$G15*F16</f>
        <v>0</v>
      </c>
      <c r="G15" s="243">
        <f>'Orçamento 15x20'!H20</f>
        <v>126.41161554000001</v>
      </c>
    </row>
    <row r="16" spans="1:7" ht="10.5" customHeight="1" x14ac:dyDescent="0.2">
      <c r="A16" s="370"/>
      <c r="B16" s="218">
        <v>1</v>
      </c>
      <c r="C16" s="219"/>
      <c r="D16" s="219"/>
      <c r="E16" s="239"/>
      <c r="F16" s="219"/>
      <c r="G16" s="220" t="e">
        <f>G15/$G$49</f>
        <v>#REF!</v>
      </c>
    </row>
    <row r="17" spans="1:7" ht="10.5" customHeight="1" x14ac:dyDescent="0.2">
      <c r="A17" s="369" t="s">
        <v>698</v>
      </c>
      <c r="B17" s="231">
        <f>$G17*B18</f>
        <v>5476.3015137600005</v>
      </c>
      <c r="C17" s="231">
        <f>$G17*C18</f>
        <v>0</v>
      </c>
      <c r="D17" s="231">
        <f>$G17*D18</f>
        <v>0</v>
      </c>
      <c r="E17" s="231">
        <f>$G17*E18</f>
        <v>0</v>
      </c>
      <c r="F17" s="232">
        <f>$G17*F18</f>
        <v>0</v>
      </c>
      <c r="G17" s="243">
        <f>'Orçamento 15x20'!H32</f>
        <v>5476.3015137600005</v>
      </c>
    </row>
    <row r="18" spans="1:7" ht="10.5" customHeight="1" x14ac:dyDescent="0.2">
      <c r="A18" s="370"/>
      <c r="B18" s="218">
        <v>1</v>
      </c>
      <c r="C18" s="219"/>
      <c r="D18" s="219"/>
      <c r="E18" s="239"/>
      <c r="F18" s="219"/>
      <c r="G18" s="220" t="e">
        <f>G17/$G$49</f>
        <v>#REF!</v>
      </c>
    </row>
    <row r="19" spans="1:7" ht="10.5" customHeight="1" x14ac:dyDescent="0.2">
      <c r="A19" s="369" t="s">
        <v>699</v>
      </c>
      <c r="B19" s="231">
        <f>$G19*B20</f>
        <v>0</v>
      </c>
      <c r="C19" s="231">
        <f>$G19*C20</f>
        <v>3645.3854908800004</v>
      </c>
      <c r="D19" s="231">
        <f>$G19*D20</f>
        <v>911.34637272000009</v>
      </c>
      <c r="E19" s="231">
        <f>$G19*E20</f>
        <v>0</v>
      </c>
      <c r="F19" s="232">
        <f>$G19*F20</f>
        <v>0</v>
      </c>
      <c r="G19" s="243">
        <f>'Orçamento 15x20'!H40</f>
        <v>4556.7318636</v>
      </c>
    </row>
    <row r="20" spans="1:7" ht="10.5" customHeight="1" x14ac:dyDescent="0.2">
      <c r="A20" s="370"/>
      <c r="B20" s="218"/>
      <c r="C20" s="219">
        <v>0.8</v>
      </c>
      <c r="D20" s="219">
        <v>0.2</v>
      </c>
      <c r="E20" s="239"/>
      <c r="F20" s="219"/>
      <c r="G20" s="220" t="e">
        <f>G19/$G$49</f>
        <v>#REF!</v>
      </c>
    </row>
    <row r="21" spans="1:7" ht="10.5" customHeight="1" x14ac:dyDescent="0.2">
      <c r="A21" s="369" t="s">
        <v>700</v>
      </c>
      <c r="B21" s="231">
        <f>$G21*B22</f>
        <v>0</v>
      </c>
      <c r="C21" s="231">
        <f>$G21*C22</f>
        <v>3416.3274327840004</v>
      </c>
      <c r="D21" s="231">
        <f>$G21*D22</f>
        <v>379.59193697600006</v>
      </c>
      <c r="E21" s="231">
        <f>$G21*E22</f>
        <v>0</v>
      </c>
      <c r="F21" s="232">
        <f>$G21*F22</f>
        <v>0</v>
      </c>
      <c r="G21" s="243">
        <f>'Orçamento 15x20'!H45</f>
        <v>3795.9193697600003</v>
      </c>
    </row>
    <row r="22" spans="1:7" ht="10.5" customHeight="1" x14ac:dyDescent="0.2">
      <c r="A22" s="370"/>
      <c r="B22" s="218"/>
      <c r="C22" s="219">
        <v>0.9</v>
      </c>
      <c r="D22" s="219">
        <v>0.1</v>
      </c>
      <c r="E22" s="239"/>
      <c r="F22" s="219"/>
      <c r="G22" s="220" t="e">
        <f>G21/$G$49</f>
        <v>#REF!</v>
      </c>
    </row>
    <row r="23" spans="1:7" ht="10.5" customHeight="1" x14ac:dyDescent="0.2">
      <c r="A23" s="369" t="s">
        <v>702</v>
      </c>
      <c r="B23" s="231">
        <f>$G23*B24</f>
        <v>0</v>
      </c>
      <c r="C23" s="231">
        <f>$G23*C24</f>
        <v>0</v>
      </c>
      <c r="D23" s="231">
        <f>$G23*D24</f>
        <v>0</v>
      </c>
      <c r="E23" s="231">
        <f>$G23*E24</f>
        <v>8035.747104</v>
      </c>
      <c r="F23" s="232">
        <f>$G23*F24</f>
        <v>0</v>
      </c>
      <c r="G23" s="243">
        <f>'Orçamento 15x20'!H50</f>
        <v>8035.747104</v>
      </c>
    </row>
    <row r="24" spans="1:7" ht="10.5" customHeight="1" x14ac:dyDescent="0.2">
      <c r="A24" s="370"/>
      <c r="B24" s="218"/>
      <c r="C24" s="219"/>
      <c r="D24" s="219"/>
      <c r="E24" s="239">
        <v>1</v>
      </c>
      <c r="F24" s="219"/>
      <c r="G24" s="220" t="e">
        <f>G23/$G$49</f>
        <v>#REF!</v>
      </c>
    </row>
    <row r="25" spans="1:7" ht="10.5" customHeight="1" x14ac:dyDescent="0.2">
      <c r="A25" s="369" t="s">
        <v>703</v>
      </c>
      <c r="B25" s="231">
        <f>$G25*B26</f>
        <v>0</v>
      </c>
      <c r="C25" s="231">
        <f>$G25*C26</f>
        <v>0</v>
      </c>
      <c r="D25" s="231">
        <f>$G25*D26</f>
        <v>2742.2153324999999</v>
      </c>
      <c r="E25" s="231">
        <f>$G25*E26</f>
        <v>2742.2153324999999</v>
      </c>
      <c r="F25" s="232">
        <f>$G25*F26</f>
        <v>0</v>
      </c>
      <c r="G25" s="243">
        <f>'Orçamento 15x20'!H58</f>
        <v>5484.4306649999999</v>
      </c>
    </row>
    <row r="26" spans="1:7" ht="10.5" customHeight="1" x14ac:dyDescent="0.2">
      <c r="A26" s="370"/>
      <c r="B26" s="218"/>
      <c r="C26" s="219"/>
      <c r="D26" s="219">
        <v>0.5</v>
      </c>
      <c r="E26" s="239">
        <v>0.5</v>
      </c>
      <c r="F26" s="219"/>
      <c r="G26" s="220" t="e">
        <f>G25/$G$49</f>
        <v>#REF!</v>
      </c>
    </row>
    <row r="27" spans="1:7" ht="10.5" customHeight="1" x14ac:dyDescent="0.2">
      <c r="A27" s="369" t="s">
        <v>704</v>
      </c>
      <c r="B27" s="231">
        <f>$G27*B28</f>
        <v>0</v>
      </c>
      <c r="C27" s="231">
        <f>$G27*C28</f>
        <v>0</v>
      </c>
      <c r="D27" s="231">
        <f>$G27*D28</f>
        <v>3201.4441683</v>
      </c>
      <c r="E27" s="231">
        <f>$G27*E28</f>
        <v>3201.4441683</v>
      </c>
      <c r="F27" s="232">
        <f>$G27*F28</f>
        <v>0</v>
      </c>
      <c r="G27" s="243">
        <f>'Orçamento 15x20'!H72</f>
        <v>6402.8883366</v>
      </c>
    </row>
    <row r="28" spans="1:7" ht="10.5" customHeight="1" x14ac:dyDescent="0.2">
      <c r="A28" s="370"/>
      <c r="B28" s="218"/>
      <c r="C28" s="219"/>
      <c r="D28" s="219">
        <v>0.5</v>
      </c>
      <c r="E28" s="239">
        <v>0.5</v>
      </c>
      <c r="F28" s="219"/>
      <c r="G28" s="220" t="e">
        <f>G27/$G$49</f>
        <v>#REF!</v>
      </c>
    </row>
    <row r="29" spans="1:7" ht="10.5" customHeight="1" x14ac:dyDescent="0.2">
      <c r="A29" s="369" t="s">
        <v>705</v>
      </c>
      <c r="B29" s="231">
        <f>$G29*B30</f>
        <v>0</v>
      </c>
      <c r="C29" s="231">
        <f>$G29*C30</f>
        <v>564.34074958799999</v>
      </c>
      <c r="D29" s="231">
        <f>$G29*D30</f>
        <v>1128.681499176</v>
      </c>
      <c r="E29" s="231">
        <f>$G29*E30</f>
        <v>1128.681499176</v>
      </c>
      <c r="F29" s="232">
        <f>$G29*F30</f>
        <v>0</v>
      </c>
      <c r="G29" s="243">
        <f>'Orçamento 15x20'!H65</f>
        <v>2821.7037479400001</v>
      </c>
    </row>
    <row r="30" spans="1:7" ht="10.5" customHeight="1" x14ac:dyDescent="0.2">
      <c r="A30" s="370"/>
      <c r="B30" s="218"/>
      <c r="C30" s="219">
        <v>0.2</v>
      </c>
      <c r="D30" s="219">
        <v>0.4</v>
      </c>
      <c r="E30" s="239">
        <v>0.4</v>
      </c>
      <c r="F30" s="219"/>
      <c r="G30" s="220" t="e">
        <f>G29/$G$49</f>
        <v>#REF!</v>
      </c>
    </row>
    <row r="31" spans="1:7" ht="10.5" customHeight="1" x14ac:dyDescent="0.2">
      <c r="A31" s="369" t="s">
        <v>706</v>
      </c>
      <c r="B31" s="231">
        <f>$G31*B32</f>
        <v>0</v>
      </c>
      <c r="C31" s="231">
        <f>$G31*C32</f>
        <v>0</v>
      </c>
      <c r="D31" s="231">
        <f>$G31*D32</f>
        <v>0</v>
      </c>
      <c r="E31" s="231">
        <f>$G31*E32</f>
        <v>0</v>
      </c>
      <c r="F31" s="232">
        <f>$G31*F32</f>
        <v>3964.4351426400003</v>
      </c>
      <c r="G31" s="243">
        <f>'Orçamento 15x20'!H80</f>
        <v>3964.4351426400003</v>
      </c>
    </row>
    <row r="32" spans="1:7" ht="10.5" customHeight="1" x14ac:dyDescent="0.2">
      <c r="A32" s="370"/>
      <c r="B32" s="218"/>
      <c r="C32" s="219"/>
      <c r="D32" s="219"/>
      <c r="E32" s="239"/>
      <c r="F32" s="219">
        <v>1</v>
      </c>
      <c r="G32" s="220" t="e">
        <f>G31/$G$49</f>
        <v>#REF!</v>
      </c>
    </row>
    <row r="33" spans="1:7" ht="10.5" customHeight="1" x14ac:dyDescent="0.2">
      <c r="A33" s="369" t="s">
        <v>707</v>
      </c>
      <c r="B33" s="231">
        <f>$G33*B34</f>
        <v>0</v>
      </c>
      <c r="C33" s="231">
        <f>$G33*C34</f>
        <v>832.91694149999989</v>
      </c>
      <c r="D33" s="231">
        <f>$G33*D34</f>
        <v>832.91694149999989</v>
      </c>
      <c r="E33" s="231">
        <f>$G33*E34</f>
        <v>832.91694149999989</v>
      </c>
      <c r="F33" s="232">
        <f>$G33*F34</f>
        <v>832.91694149999989</v>
      </c>
      <c r="G33" s="243">
        <f>'Orçamento 15x20'!H98</f>
        <v>3331.6677659999996</v>
      </c>
    </row>
    <row r="34" spans="1:7" ht="10.5" customHeight="1" x14ac:dyDescent="0.2">
      <c r="A34" s="370"/>
      <c r="B34" s="218"/>
      <c r="C34" s="219">
        <v>0.25</v>
      </c>
      <c r="D34" s="219">
        <v>0.25</v>
      </c>
      <c r="E34" s="239">
        <v>0.25</v>
      </c>
      <c r="F34" s="219">
        <v>0.25</v>
      </c>
      <c r="G34" s="220" t="e">
        <f>G33/$G$49</f>
        <v>#REF!</v>
      </c>
    </row>
    <row r="35" spans="1:7" ht="10.5" customHeight="1" x14ac:dyDescent="0.2">
      <c r="A35" s="369" t="s">
        <v>708</v>
      </c>
      <c r="B35" s="231">
        <f>$G35*B36</f>
        <v>0</v>
      </c>
      <c r="C35" s="231">
        <f>$G35*C36</f>
        <v>353.3439525</v>
      </c>
      <c r="D35" s="231">
        <f>$G35*D36</f>
        <v>353.3439525</v>
      </c>
      <c r="E35" s="231">
        <f>$G35*E36</f>
        <v>353.3439525</v>
      </c>
      <c r="F35" s="232">
        <f>$G35*F36</f>
        <v>353.3439525</v>
      </c>
      <c r="G35" s="243">
        <f>'Orçamento 15x20'!H109</f>
        <v>1413.37581</v>
      </c>
    </row>
    <row r="36" spans="1:7" ht="10.5" customHeight="1" x14ac:dyDescent="0.2">
      <c r="A36" s="370"/>
      <c r="B36" s="218"/>
      <c r="C36" s="218">
        <v>0.25</v>
      </c>
      <c r="D36" s="219">
        <v>0.25</v>
      </c>
      <c r="E36" s="239">
        <v>0.25</v>
      </c>
      <c r="F36" s="219">
        <v>0.25</v>
      </c>
      <c r="G36" s="220" t="e">
        <f>G35/$G$49</f>
        <v>#REF!</v>
      </c>
    </row>
    <row r="37" spans="1:7" ht="10.5" customHeight="1" x14ac:dyDescent="0.2">
      <c r="A37" s="369" t="s">
        <v>709</v>
      </c>
      <c r="B37" s="231">
        <f>$G37*B38</f>
        <v>0</v>
      </c>
      <c r="C37" s="231">
        <f>$G37*C38</f>
        <v>0</v>
      </c>
      <c r="D37" s="231">
        <f>$G37*D38</f>
        <v>1596.7478309999999</v>
      </c>
      <c r="E37" s="231">
        <f>$G37*E38</f>
        <v>1596.7478309999999</v>
      </c>
      <c r="F37" s="232">
        <f>$G37*F38</f>
        <v>0</v>
      </c>
      <c r="G37" s="243">
        <f>'Orçamento 15x20'!H123</f>
        <v>3193.4956619999998</v>
      </c>
    </row>
    <row r="38" spans="1:7" ht="10.5" customHeight="1" x14ac:dyDescent="0.2">
      <c r="A38" s="370"/>
      <c r="B38" s="218"/>
      <c r="C38" s="218"/>
      <c r="D38" s="219">
        <v>0.5</v>
      </c>
      <c r="E38" s="239">
        <v>0.5</v>
      </c>
      <c r="F38" s="219"/>
      <c r="G38" s="220" t="e">
        <f>G37/$G$49</f>
        <v>#REF!</v>
      </c>
    </row>
    <row r="39" spans="1:7" ht="10.5" customHeight="1" x14ac:dyDescent="0.2">
      <c r="A39" s="369" t="s">
        <v>710</v>
      </c>
      <c r="B39" s="231">
        <f>$G39*B40</f>
        <v>0</v>
      </c>
      <c r="C39" s="231">
        <f>$G39*C40</f>
        <v>0</v>
      </c>
      <c r="D39" s="231">
        <f>$G39*D40</f>
        <v>0</v>
      </c>
      <c r="E39" s="231">
        <f>$G39*E40</f>
        <v>874.11004800000001</v>
      </c>
      <c r="F39" s="232">
        <f>$G39*F40</f>
        <v>0</v>
      </c>
      <c r="G39" s="243">
        <f>'Orçamento 15x20'!H130</f>
        <v>874.11004800000001</v>
      </c>
    </row>
    <row r="40" spans="1:7" ht="10.5" customHeight="1" x14ac:dyDescent="0.2">
      <c r="A40" s="370"/>
      <c r="B40" s="218"/>
      <c r="C40" s="218"/>
      <c r="D40" s="219"/>
      <c r="E40" s="239">
        <v>1</v>
      </c>
      <c r="F40" s="219"/>
      <c r="G40" s="220" t="e">
        <f>G39/$G$49</f>
        <v>#REF!</v>
      </c>
    </row>
    <row r="41" spans="1:7" ht="10.5" customHeight="1" x14ac:dyDescent="0.2">
      <c r="A41" s="369" t="s">
        <v>718</v>
      </c>
      <c r="B41" s="231" t="e">
        <f>$G41*B42</f>
        <v>#REF!</v>
      </c>
      <c r="C41" s="231" t="e">
        <f>$G41*C42</f>
        <v>#REF!</v>
      </c>
      <c r="D41" s="231" t="e">
        <f>$G41*D42</f>
        <v>#REF!</v>
      </c>
      <c r="E41" s="231" t="e">
        <f>$G41*E42</f>
        <v>#REF!</v>
      </c>
      <c r="F41" s="232" t="e">
        <f>$G41*F42</f>
        <v>#REF!</v>
      </c>
      <c r="G41" s="243" t="e">
        <f>'Orçamento 15x20'!#REF!</f>
        <v>#REF!</v>
      </c>
    </row>
    <row r="42" spans="1:7" ht="10.5" customHeight="1" x14ac:dyDescent="0.2">
      <c r="A42" s="370"/>
      <c r="B42" s="218"/>
      <c r="C42" s="218">
        <v>0.5</v>
      </c>
      <c r="D42" s="219"/>
      <c r="E42" s="239">
        <v>0.5</v>
      </c>
      <c r="F42" s="219"/>
      <c r="G42" s="220" t="e">
        <f>G41/$G$49</f>
        <v>#REF!</v>
      </c>
    </row>
    <row r="43" spans="1:7" ht="10.5" customHeight="1" x14ac:dyDescent="0.2">
      <c r="A43" s="369" t="s">
        <v>711</v>
      </c>
      <c r="B43" s="231" t="e">
        <f>$G43*B44</f>
        <v>#REF!</v>
      </c>
      <c r="C43" s="231" t="e">
        <f>$G43*C44</f>
        <v>#REF!</v>
      </c>
      <c r="D43" s="231" t="e">
        <f>$G43*D44</f>
        <v>#REF!</v>
      </c>
      <c r="E43" s="231" t="e">
        <f>$G43*E44</f>
        <v>#REF!</v>
      </c>
      <c r="F43" s="232" t="e">
        <f>$G43*F44</f>
        <v>#REF!</v>
      </c>
      <c r="G43" s="243" t="e">
        <f>'Orçamento 15x20'!#REF!</f>
        <v>#REF!</v>
      </c>
    </row>
    <row r="44" spans="1:7" ht="10.5" customHeight="1" x14ac:dyDescent="0.2">
      <c r="A44" s="370"/>
      <c r="B44" s="218"/>
      <c r="C44" s="218"/>
      <c r="D44" s="219"/>
      <c r="E44" s="239">
        <v>0.4</v>
      </c>
      <c r="F44" s="219">
        <v>0.6</v>
      </c>
      <c r="G44" s="220" t="e">
        <f>G43/$G$49</f>
        <v>#REF!</v>
      </c>
    </row>
    <row r="45" spans="1:7" ht="10.5" customHeight="1" x14ac:dyDescent="0.2">
      <c r="A45" s="369" t="s">
        <v>712</v>
      </c>
      <c r="B45" s="231">
        <f>$G45*B46</f>
        <v>0</v>
      </c>
      <c r="C45" s="231">
        <f>$G45*C46</f>
        <v>0</v>
      </c>
      <c r="D45" s="231">
        <f>$G45*D46</f>
        <v>0</v>
      </c>
      <c r="E45" s="231">
        <f>$G45*E46</f>
        <v>0</v>
      </c>
      <c r="F45" s="232">
        <f>$G45*F46</f>
        <v>379.05059136000006</v>
      </c>
      <c r="G45" s="243">
        <f>'Orçamento 15x20'!H135</f>
        <v>379.05059136000006</v>
      </c>
    </row>
    <row r="46" spans="1:7" ht="10.5" customHeight="1" x14ac:dyDescent="0.2">
      <c r="A46" s="370"/>
      <c r="B46" s="218"/>
      <c r="C46" s="218"/>
      <c r="D46" s="219"/>
      <c r="E46" s="239"/>
      <c r="F46" s="219">
        <v>1</v>
      </c>
      <c r="G46" s="220" t="e">
        <f>G45/$G$49</f>
        <v>#REF!</v>
      </c>
    </row>
    <row r="47" spans="1:7" ht="10.5" customHeight="1" x14ac:dyDescent="0.2">
      <c r="A47" s="369" t="s">
        <v>713</v>
      </c>
      <c r="B47" s="231" t="e">
        <f>$G47*B48</f>
        <v>#REF!</v>
      </c>
      <c r="C47" s="231" t="e">
        <f>$G47*C48</f>
        <v>#REF!</v>
      </c>
      <c r="D47" s="231" t="e">
        <f>$G47*D48</f>
        <v>#REF!</v>
      </c>
      <c r="E47" s="231" t="e">
        <f>$G47*E48</f>
        <v>#REF!</v>
      </c>
      <c r="F47" s="232" t="e">
        <f>$G47*F48</f>
        <v>#REF!</v>
      </c>
      <c r="G47" s="243" t="e">
        <f>'Orçamento 15x20'!#REF!</f>
        <v>#REF!</v>
      </c>
    </row>
    <row r="48" spans="1:7" ht="10.5" customHeight="1" thickBot="1" x14ac:dyDescent="0.25">
      <c r="A48" s="371"/>
      <c r="B48" s="233"/>
      <c r="C48" s="233"/>
      <c r="D48" s="241"/>
      <c r="E48" s="240"/>
      <c r="F48" s="241">
        <v>1</v>
      </c>
      <c r="G48" s="220" t="e">
        <f>G47/$G$49</f>
        <v>#REF!</v>
      </c>
    </row>
    <row r="49" spans="1:7" ht="10.5" customHeight="1" thickBot="1" x14ac:dyDescent="0.25">
      <c r="A49" s="223" t="s">
        <v>691</v>
      </c>
      <c r="B49" s="234" t="e">
        <f t="shared" ref="B49:G49" si="0">SUM(B13,B15,B17,B19,B21,B23,B25,B27,B29,B31,B33,B35,B37,B39,B41,B43,B45,B47)</f>
        <v>#REF!</v>
      </c>
      <c r="C49" s="234" t="e">
        <f t="shared" si="0"/>
        <v>#REF!</v>
      </c>
      <c r="D49" s="234" t="e">
        <f t="shared" si="0"/>
        <v>#REF!</v>
      </c>
      <c r="E49" s="234" t="e">
        <f t="shared" si="0"/>
        <v>#REF!</v>
      </c>
      <c r="F49" s="234" t="e">
        <f t="shared" si="0"/>
        <v>#REF!</v>
      </c>
      <c r="G49" s="234" t="e">
        <f t="shared" si="0"/>
        <v>#REF!</v>
      </c>
    </row>
    <row r="50" spans="1:7" ht="10.5" customHeight="1" thickBot="1" x14ac:dyDescent="0.25">
      <c r="A50" s="223"/>
      <c r="B50" s="235" t="e">
        <f>B49/$G$49</f>
        <v>#REF!</v>
      </c>
      <c r="C50" s="235" t="e">
        <f>C49/$G$49</f>
        <v>#REF!</v>
      </c>
      <c r="D50" s="235" t="e">
        <f>D49/$G$49</f>
        <v>#REF!</v>
      </c>
      <c r="E50" s="235" t="e">
        <f>E49/$G$49</f>
        <v>#REF!</v>
      </c>
      <c r="F50" s="235" t="e">
        <f>F49/$G$49</f>
        <v>#REF!</v>
      </c>
      <c r="G50" s="236" t="e">
        <f>SUM(B50:F50)</f>
        <v>#REF!</v>
      </c>
    </row>
    <row r="51" spans="1:7" ht="10.5" customHeight="1" thickBot="1" x14ac:dyDescent="0.25">
      <c r="A51" s="223" t="s">
        <v>692</v>
      </c>
      <c r="B51" s="237" t="e">
        <f>B49</f>
        <v>#REF!</v>
      </c>
      <c r="C51" s="237" t="e">
        <f>B51+C49</f>
        <v>#REF!</v>
      </c>
      <c r="D51" s="237" t="e">
        <f>C51+D49</f>
        <v>#REF!</v>
      </c>
      <c r="E51" s="237" t="e">
        <f>D51+E49</f>
        <v>#REF!</v>
      </c>
      <c r="F51" s="237" t="e">
        <f>E51+F49</f>
        <v>#REF!</v>
      </c>
      <c r="G51" s="238"/>
    </row>
    <row r="52" spans="1:7" ht="10.5" customHeight="1" x14ac:dyDescent="0.2">
      <c r="A52" s="224"/>
      <c r="B52" s="224"/>
      <c r="C52" s="224"/>
      <c r="D52" s="224"/>
      <c r="E52" s="224"/>
      <c r="F52" s="224"/>
      <c r="G52" s="224"/>
    </row>
    <row r="53" spans="1:7" ht="10.5" customHeight="1" x14ac:dyDescent="0.2">
      <c r="A53" s="224" t="s">
        <v>790</v>
      </c>
      <c r="B53" s="224"/>
      <c r="C53" s="224"/>
      <c r="D53" s="226" t="s">
        <v>693</v>
      </c>
      <c r="G53" s="224"/>
    </row>
    <row r="54" spans="1:7" ht="10.5" customHeight="1" x14ac:dyDescent="0.2">
      <c r="A54" s="224"/>
      <c r="B54" s="224"/>
      <c r="C54" s="224"/>
      <c r="D54" s="226" t="s">
        <v>694</v>
      </c>
      <c r="E54" s="226"/>
      <c r="F54" s="226"/>
      <c r="G54" s="224"/>
    </row>
    <row r="55" spans="1:7" ht="10.5" customHeight="1" x14ac:dyDescent="0.2">
      <c r="A55" s="224"/>
      <c r="C55" s="224"/>
      <c r="E55" s="226"/>
      <c r="F55" s="226"/>
      <c r="G55" s="224"/>
    </row>
    <row r="56" spans="1:7" ht="10.5" customHeight="1" x14ac:dyDescent="0.2">
      <c r="A56" s="224"/>
      <c r="B56" s="225"/>
      <c r="C56" s="224"/>
      <c r="G56" s="227"/>
    </row>
    <row r="57" spans="1:7" ht="10.5" customHeight="1" x14ac:dyDescent="0.2">
      <c r="A57" s="224"/>
      <c r="B57" s="225"/>
      <c r="C57" s="224"/>
      <c r="G57" s="227"/>
    </row>
    <row r="58" spans="1:7" ht="10.5" customHeight="1" x14ac:dyDescent="0.2">
      <c r="A58" s="224"/>
      <c r="B58" s="227"/>
      <c r="C58" s="224"/>
      <c r="D58" s="224"/>
      <c r="E58" s="224"/>
      <c r="F58" s="224"/>
      <c r="G58" s="227"/>
    </row>
    <row r="59" spans="1:7" ht="10.5" customHeight="1" x14ac:dyDescent="0.2">
      <c r="A59" s="224"/>
      <c r="B59" s="224"/>
      <c r="C59" s="224"/>
      <c r="D59" s="224"/>
      <c r="E59" s="224"/>
      <c r="F59" s="224"/>
      <c r="G59" s="224"/>
    </row>
  </sheetData>
  <mergeCells count="26">
    <mergeCell ref="A1:G1"/>
    <mergeCell ref="A2:G2"/>
    <mergeCell ref="A3:G3"/>
    <mergeCell ref="A4:G4"/>
    <mergeCell ref="A5:G5"/>
    <mergeCell ref="A7:G7"/>
    <mergeCell ref="A8:G8"/>
    <mergeCell ref="A9:G9"/>
    <mergeCell ref="A17:A18"/>
    <mergeCell ref="A15:A16"/>
    <mergeCell ref="A13:A14"/>
    <mergeCell ref="A21:A22"/>
    <mergeCell ref="A19:A20"/>
    <mergeCell ref="A47:A48"/>
    <mergeCell ref="A45:A46"/>
    <mergeCell ref="A43:A44"/>
    <mergeCell ref="A41:A42"/>
    <mergeCell ref="A39:A40"/>
    <mergeCell ref="A37:A38"/>
    <mergeCell ref="A35:A36"/>
    <mergeCell ref="A33:A34"/>
    <mergeCell ref="A31:A32"/>
    <mergeCell ref="A29:A30"/>
    <mergeCell ref="A27:A28"/>
    <mergeCell ref="A25:A26"/>
    <mergeCell ref="A23:A2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2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19" sqref="A19"/>
    </sheetView>
  </sheetViews>
  <sheetFormatPr defaultRowHeight="12.75" x14ac:dyDescent="0.2"/>
  <cols>
    <col min="1" max="1" width="14.140625" customWidth="1"/>
    <col min="2" max="2" width="24.140625" customWidth="1"/>
    <col min="3" max="6" width="12.140625" customWidth="1"/>
  </cols>
  <sheetData>
    <row r="1" spans="1:6" x14ac:dyDescent="0.2">
      <c r="A1" s="297" t="s">
        <v>773</v>
      </c>
    </row>
    <row r="2" spans="1:6" x14ac:dyDescent="0.2">
      <c r="A2" s="297"/>
    </row>
    <row r="3" spans="1:6" x14ac:dyDescent="0.2">
      <c r="A3" s="297" t="s">
        <v>772</v>
      </c>
    </row>
    <row r="6" spans="1:6" ht="21.75" customHeight="1" x14ac:dyDescent="0.2">
      <c r="A6" s="298" t="s">
        <v>774</v>
      </c>
      <c r="B6" s="299"/>
      <c r="C6" s="299"/>
      <c r="D6" s="299"/>
      <c r="E6" s="299"/>
      <c r="F6" s="299"/>
    </row>
    <row r="7" spans="1:6" ht="21.75" customHeight="1" x14ac:dyDescent="0.2">
      <c r="A7" s="298" t="s">
        <v>775</v>
      </c>
      <c r="B7" s="299"/>
      <c r="C7" s="299"/>
      <c r="D7" s="299"/>
      <c r="E7" s="299"/>
      <c r="F7" s="299"/>
    </row>
    <row r="8" spans="1:6" ht="21.75" customHeight="1" x14ac:dyDescent="0.2">
      <c r="A8" s="298" t="s">
        <v>776</v>
      </c>
      <c r="B8" s="299"/>
      <c r="C8" s="299"/>
      <c r="D8" s="299"/>
      <c r="E8" s="299"/>
      <c r="F8" s="299"/>
    </row>
    <row r="9" spans="1:6" ht="21.75" customHeight="1" x14ac:dyDescent="0.2">
      <c r="A9" s="298" t="s">
        <v>777</v>
      </c>
      <c r="B9" s="299"/>
      <c r="C9" s="299"/>
      <c r="D9" s="299"/>
      <c r="E9" s="299"/>
      <c r="F9" s="299"/>
    </row>
    <row r="10" spans="1:6" ht="21.75" customHeight="1" x14ac:dyDescent="0.2">
      <c r="A10" s="298" t="s">
        <v>778</v>
      </c>
      <c r="B10" s="299"/>
      <c r="C10" s="299"/>
      <c r="D10" s="299"/>
      <c r="E10" s="299"/>
      <c r="F10" s="299"/>
    </row>
    <row r="13" spans="1:6" x14ac:dyDescent="0.2">
      <c r="A13" s="297" t="s">
        <v>779</v>
      </c>
    </row>
    <row r="14" spans="1:6" x14ac:dyDescent="0.2">
      <c r="A14" s="296" t="s">
        <v>780</v>
      </c>
    </row>
    <row r="15" spans="1:6" x14ac:dyDescent="0.2">
      <c r="A15" s="296" t="s">
        <v>781</v>
      </c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Orçamento 15x20</vt:lpstr>
      <vt:lpstr>Orçamento 20x20</vt:lpstr>
      <vt:lpstr>Memória de Cálculo</vt:lpstr>
      <vt:lpstr>Comp.</vt:lpstr>
      <vt:lpstr>Cronograma</vt:lpstr>
      <vt:lpstr>Plan1</vt:lpstr>
      <vt:lpstr>'Orçamento 15x20'!Titulos_de_impressao</vt:lpstr>
    </vt:vector>
  </TitlesOfParts>
  <Company>FNDE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Herton Cavalcanti</dc:creator>
  <cp:lastModifiedBy>Tauana</cp:lastModifiedBy>
  <cp:lastPrinted>2018-04-30T18:11:09Z</cp:lastPrinted>
  <dcterms:created xsi:type="dcterms:W3CDTF">2009-07-02T17:29:30Z</dcterms:created>
  <dcterms:modified xsi:type="dcterms:W3CDTF">2018-05-21T16:05:27Z</dcterms:modified>
</cp:coreProperties>
</file>